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cfcazurehome-my.sharepoint.com/personal/jjarvis_communityfirst_com_au/Documents/Desktop/"/>
    </mc:Choice>
  </mc:AlternateContent>
  <xr:revisionPtr revIDLastSave="0" documentId="8_{6A0CDB6F-D112-4FF8-B62A-7FFB935337B6}" xr6:coauthVersionLast="47" xr6:coauthVersionMax="47" xr10:uidLastSave="{00000000-0000-0000-0000-000000000000}"/>
  <bookViews>
    <workbookView xWindow="-26490" yWindow="2310" windowWidth="21600" windowHeight="11235" firstSheet="1" activeTab="1" xr2:uid="{00000000-000D-0000-FFFF-FFFF00000000}"/>
  </bookViews>
  <sheets>
    <sheet name="Help" sheetId="4" state="hidden" r:id="rId1"/>
    <sheet name="Main" sheetId="1" r:id="rId2"/>
    <sheet name="PrintCopy" sheetId="9"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Main!$D$32</definedName>
    <definedName name="Appl_Annual_Income_inc_Overtime_2">Main!$D$33</definedName>
    <definedName name="Appl_Annual_Income_inc_Overtime_3">Main!$D$34</definedName>
    <definedName name="Appl_Annual_Income_inc_Overtime_4">Main!$D$35</definedName>
    <definedName name="Appl_Annual_Income_inc_Overtime_5">Main!$D$36</definedName>
    <definedName name="Appl_Annual_Income_inc_Overtime_6">Main!$D$37</definedName>
    <definedName name="Applicable_Living_Expenses" localSheetId="2">PrintCopy!$E$45</definedName>
    <definedName name="Applicable_Living_Expenses">Main!$E$46</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Main!$F$32</definedName>
    <definedName name="Applicant1_GIncome" localSheetId="2">PrintCopy!$B$29</definedName>
    <definedName name="Applicant1_GIncome">Main!$B$32</definedName>
    <definedName name="Applicant1_IncFreq" localSheetId="2">PrintCopy!$C$29</definedName>
    <definedName name="Applicant1_IncFreq">Main!$C$32</definedName>
    <definedName name="Applicant2_GAIncome">CalculationsReference!$C$38</definedName>
    <definedName name="Applicant2_GARental" localSheetId="2">PrintCopy!$F$30</definedName>
    <definedName name="Applicant2_GARental">Main!$F$33</definedName>
    <definedName name="Applicant2_GIncome" localSheetId="2">PrintCopy!$B$30</definedName>
    <definedName name="Applicant2_GIncome">Main!$B$33</definedName>
    <definedName name="Applicant2_IncFreq" localSheetId="2">PrintCopy!$C$30</definedName>
    <definedName name="Applicant2_IncFreq">Main!$C$33</definedName>
    <definedName name="Applicant3_GAIncome">CalculationsReference!$D$38</definedName>
    <definedName name="Applicant3_GARental" localSheetId="2">PrintCopy!$F$31</definedName>
    <definedName name="Applicant3_GARental">Main!$F$34</definedName>
    <definedName name="Applicant3_GIncome" localSheetId="2">PrintCopy!$B$31</definedName>
    <definedName name="Applicant3_GIncome">Main!$B$34</definedName>
    <definedName name="Applicant3_IncFreq" localSheetId="2">PrintCopy!$C$31</definedName>
    <definedName name="Applicant3_IncFreq">Main!$C$34</definedName>
    <definedName name="Applicant4_GAIncome">CalculationsReference!$E$38</definedName>
    <definedName name="Applicant4_GARental" localSheetId="2">PrintCopy!$F$32</definedName>
    <definedName name="Applicant4_GARental">Main!$F$35</definedName>
    <definedName name="Applicant4_GIncome" localSheetId="2">PrintCopy!$B$32</definedName>
    <definedName name="Applicant4_GIncome">Main!$B$35</definedName>
    <definedName name="Applicant4_IncFreq" localSheetId="2">PrintCopy!$C$32</definedName>
    <definedName name="Applicant4_IncFreq">Main!$C$35</definedName>
    <definedName name="Applicant5_GAIncome">CalculationsReference!$F$38</definedName>
    <definedName name="Applicant5_GARental" localSheetId="2">PrintCopy!$F$33</definedName>
    <definedName name="Applicant5_GARental">Main!$F$36</definedName>
    <definedName name="Applicant5_GIncome" localSheetId="2">PrintCopy!$B$33</definedName>
    <definedName name="Applicant5_GIncome">Main!$B$36</definedName>
    <definedName name="Applicant5_IncFreq" localSheetId="2">PrintCopy!$C$33</definedName>
    <definedName name="Applicant5_IncFreq">Main!$C$36</definedName>
    <definedName name="Applicant6_GAIncome">CalculationsReference!$G$38</definedName>
    <definedName name="Applicant6_GARental" localSheetId="2">PrintCopy!$F$34</definedName>
    <definedName name="Applicant6_GARental">Main!$F$37</definedName>
    <definedName name="Applicant6_GIncome" localSheetId="2">PrintCopy!$B$34</definedName>
    <definedName name="Applicant6_GIncome">Main!$B$37</definedName>
    <definedName name="Applicant6_IncFreq" localSheetId="2">PrintCopy!$C$34</definedName>
    <definedName name="Applicant6_IncFreq">Main!$C$37</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Main!$A$1:$I$54</definedName>
    <definedName name="CalculatorPrintPage" localSheetId="2">#REF!</definedName>
    <definedName name="CalculatorPrintPage">#REF!</definedName>
    <definedName name="Company_Business_Depreciation_Amount" localSheetId="2">PrintCopy!$I$39</definedName>
    <definedName name="Company_Business_Depreciation_Amount">Main!#REF!</definedName>
    <definedName name="Company_NPBT_GAIncome" localSheetId="2">PrintCopy!$E$38</definedName>
    <definedName name="Company_NPBT_GAIncome">Main!#REF!</definedName>
    <definedName name="Company_NPBT_GAIncomeMRY" localSheetId="2">PrintCopy!$E$36</definedName>
    <definedName name="Company_NPBT_GAIncomeMRY">Main!#REF!</definedName>
    <definedName name="Company_NPBT_GAIncomePY" localSheetId="2">PrintCopy!$E$37</definedName>
    <definedName name="Company_NPBT_GAIncomePY">Main!$E$40</definedName>
    <definedName name="Company_NPBT_GARental" localSheetId="2">PrintCopy!$F$36</definedName>
    <definedName name="Company_NPBT_GARental">Main!#REF!</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Main!#REF!</definedName>
    <definedName name="Family_Payments_Amount" localSheetId="2">PrintCopy!$B$35</definedName>
    <definedName name="Family_Payments_Amount">Main!$B$39</definedName>
    <definedName name="Gross_Annual_Income">Main!$E$41</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Main!$J$46</definedName>
    <definedName name="Living_Expenses">CalculationsReference!$A$61</definedName>
    <definedName name="Living_Expenses_Override" localSheetId="2">PrintCopy!$E$44</definedName>
    <definedName name="Living_Expenses_Override">Main!$E$45</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Main!$F$54</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Main!$F$51</definedName>
    <definedName name="Other_Commits_Total_Monthly_Payment" localSheetId="2">PrintCopy!$H$26</definedName>
    <definedName name="Other_Commits_Total_Monthly_Payment">Main!$H$29</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Main!$A$1:$K$57</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Main!$F$52</definedName>
    <definedName name="Total_Gross_Annual_Income">Main!$G$41</definedName>
    <definedName name="Total_Net_Annual_Income" localSheetId="2">PrintCopy!$I$40</definedName>
    <definedName name="Total_Net_Annual_Income">Main!$I$41</definedName>
    <definedName name="Zero_Value">HiddenReference!$C$45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57" i="3" l="1"/>
  <c r="H20" i="1" l="1"/>
  <c r="H29" i="1" s="1"/>
  <c r="G38" i="1"/>
  <c r="G39" i="1"/>
  <c r="H23" i="1"/>
  <c r="I23" i="1"/>
  <c r="J38" i="1" l="1"/>
  <c r="C15" i="11"/>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3"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1" i="1"/>
  <c r="F40" i="9" s="1"/>
  <c r="B54" i="2"/>
  <c r="B53" i="2" s="1"/>
  <c r="E36" i="9"/>
  <c r="B30" i="9"/>
  <c r="D29" i="9"/>
  <c r="B29" i="9"/>
  <c r="G23" i="9"/>
  <c r="G19" i="9"/>
  <c r="B6" i="9"/>
  <c r="G22" i="9"/>
  <c r="G21" i="9"/>
  <c r="I20" i="1"/>
  <c r="I18" i="9" s="1"/>
  <c r="I25" i="1"/>
  <c r="I23" i="9" s="1"/>
  <c r="E29" i="3"/>
  <c r="I24" i="1" s="1"/>
  <c r="I22" i="9" s="1"/>
  <c r="D29" i="3"/>
  <c r="H21" i="9" s="1"/>
  <c r="C14" i="2"/>
  <c r="H44" i="3"/>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5" i="1"/>
  <c r="J44" i="9" s="1"/>
  <c r="C39" i="1"/>
  <c r="C35" i="9" s="1"/>
  <c r="G35" i="3"/>
  <c r="F35" i="3"/>
  <c r="F36" i="3"/>
  <c r="F37" i="3" s="1"/>
  <c r="E35" i="3"/>
  <c r="E36" i="3"/>
  <c r="E37" i="3" s="1"/>
  <c r="E38" i="3" s="1"/>
  <c r="D35" i="3"/>
  <c r="D36" i="3" s="1"/>
  <c r="D37" i="3" s="1"/>
  <c r="D38" i="3" s="1"/>
  <c r="C35" i="3"/>
  <c r="B35" i="3"/>
  <c r="G34" i="3"/>
  <c r="F34" i="3"/>
  <c r="E34" i="3"/>
  <c r="D34" i="3"/>
  <c r="C34" i="3"/>
  <c r="C36" i="2"/>
  <c r="F4" i="6"/>
  <c r="E4" i="6"/>
  <c r="C33" i="2"/>
  <c r="F1" i="3"/>
  <c r="C9" i="3"/>
  <c r="C29" i="3"/>
  <c r="I22" i="1" s="1"/>
  <c r="I20" i="9" s="1"/>
  <c r="C30" i="3"/>
  <c r="A39" i="3"/>
  <c r="B39" i="3"/>
  <c r="C39" i="3"/>
  <c r="D39" i="3"/>
  <c r="E39" i="3"/>
  <c r="E44" i="3" s="1"/>
  <c r="F39" i="3"/>
  <c r="F45" i="3" s="1"/>
  <c r="G39" i="3"/>
  <c r="G45" i="3" s="1"/>
  <c r="B4" i="2"/>
  <c r="B5" i="2" s="1"/>
  <c r="B6" i="2" s="1"/>
  <c r="B7" i="2" s="1"/>
  <c r="A27" i="2"/>
  <c r="I4" i="1"/>
  <c r="I4" i="9" s="1"/>
  <c r="G36" i="3"/>
  <c r="B34" i="3"/>
  <c r="H25" i="1"/>
  <c r="H23" i="9" s="1"/>
  <c r="C25" i="2"/>
  <c r="A26" i="2"/>
  <c r="F44" i="3" l="1"/>
  <c r="F38" i="9"/>
  <c r="G4" i="6"/>
  <c r="G6" i="6" s="1"/>
  <c r="I2" i="6"/>
  <c r="H4" i="6"/>
  <c r="H6" i="6" s="1"/>
  <c r="Q2" i="6"/>
  <c r="P4" i="6"/>
  <c r="O4" i="6"/>
  <c r="O6" i="6" s="1"/>
  <c r="J39" i="1"/>
  <c r="J35" i="9" s="1"/>
  <c r="B12" i="3"/>
  <c r="H9" i="3" s="1"/>
  <c r="G9" i="3" s="1"/>
  <c r="D10" i="3" s="1"/>
  <c r="G11" i="3" s="1"/>
  <c r="H22" i="1"/>
  <c r="H20" i="9" s="1"/>
  <c r="C42" i="3"/>
  <c r="C44" i="3" s="1"/>
  <c r="B13" i="9"/>
  <c r="C25" i="3"/>
  <c r="E16" i="1" s="1"/>
  <c r="C18" i="3"/>
  <c r="D16" i="1" s="1"/>
  <c r="I35" i="9"/>
  <c r="H24" i="1"/>
  <c r="H22" i="9" s="1"/>
  <c r="E45" i="3"/>
  <c r="E42" i="3"/>
  <c r="F42" i="3"/>
  <c r="I21" i="9"/>
  <c r="D17" i="3"/>
  <c r="G18" i="3" s="1"/>
  <c r="D24" i="3"/>
  <c r="G25" i="3" s="1"/>
  <c r="G10" i="3"/>
  <c r="C11" i="3" s="1"/>
  <c r="D42" i="3"/>
  <c r="D45" i="3" s="1"/>
  <c r="G37" i="3"/>
  <c r="G38" i="3" s="1"/>
  <c r="B36" i="3"/>
  <c r="B37" i="3" s="1"/>
  <c r="B38" i="3" s="1"/>
  <c r="C36" i="3"/>
  <c r="C37" i="3" s="1"/>
  <c r="C38" i="3" s="1"/>
  <c r="C40" i="3" s="1"/>
  <c r="E40" i="3"/>
  <c r="G35" i="1" s="1"/>
  <c r="G32" i="9" s="1"/>
  <c r="E35" i="1"/>
  <c r="E32" i="9" s="1"/>
  <c r="E37" i="9"/>
  <c r="A29" i="2"/>
  <c r="B42" i="3"/>
  <c r="B44" i="3" s="1"/>
  <c r="G29" i="1"/>
  <c r="G26" i="9" s="1"/>
  <c r="F38" i="3"/>
  <c r="D44" i="3"/>
  <c r="E34" i="1"/>
  <c r="E31" i="9" s="1"/>
  <c r="D40" i="3"/>
  <c r="G44" i="3"/>
  <c r="H42" i="3"/>
  <c r="G42" i="3"/>
  <c r="H45" i="3"/>
  <c r="P6" i="6" l="1"/>
  <c r="Q4" i="6"/>
  <c r="Q6" i="6" s="1"/>
  <c r="R2" i="6"/>
  <c r="I4" i="6"/>
  <c r="I6" i="6" s="1"/>
  <c r="J2" i="6"/>
  <c r="B16" i="1"/>
  <c r="B14" i="9" s="1"/>
  <c r="A52" i="9"/>
  <c r="F53" i="1"/>
  <c r="B45" i="3"/>
  <c r="E33" i="1"/>
  <c r="E30" i="9" s="1"/>
  <c r="E47" i="3"/>
  <c r="E54" i="3" s="1"/>
  <c r="E37" i="1"/>
  <c r="E34" i="9" s="1"/>
  <c r="G40" i="3"/>
  <c r="G47" i="3" s="1"/>
  <c r="I42" i="3"/>
  <c r="B40" i="3"/>
  <c r="E32" i="1"/>
  <c r="I44" i="3"/>
  <c r="E38" i="9"/>
  <c r="F40" i="3"/>
  <c r="E36" i="1"/>
  <c r="E33" i="9" s="1"/>
  <c r="G34" i="1"/>
  <c r="G31" i="9" s="1"/>
  <c r="D47" i="3"/>
  <c r="G33" i="1"/>
  <c r="C47" i="3"/>
  <c r="J50" i="1" l="1"/>
  <c r="J51" i="1" s="1"/>
  <c r="E41" i="1"/>
  <c r="E40" i="9" s="1"/>
  <c r="K2" i="6"/>
  <c r="J4" i="6"/>
  <c r="J6" i="6" s="1"/>
  <c r="S2" i="6"/>
  <c r="R4" i="6"/>
  <c r="R6" i="6" s="1"/>
  <c r="J49" i="1"/>
  <c r="G37" i="1"/>
  <c r="G34" i="9" s="1"/>
  <c r="E29" i="9"/>
  <c r="F52" i="9"/>
  <c r="E50" i="3"/>
  <c r="H18" i="9"/>
  <c r="C50" i="2"/>
  <c r="C52" i="2" s="1"/>
  <c r="C45" i="3"/>
  <c r="I45" i="3" s="1"/>
  <c r="H19" i="9"/>
  <c r="E52" i="3"/>
  <c r="E53" i="3"/>
  <c r="E55" i="3"/>
  <c r="E56" i="3" s="1"/>
  <c r="E51" i="3"/>
  <c r="E49" i="3"/>
  <c r="G36" i="1"/>
  <c r="G33" i="9" s="1"/>
  <c r="F47" i="3"/>
  <c r="I36" i="3"/>
  <c r="B47" i="3"/>
  <c r="G32" i="1"/>
  <c r="G51" i="3"/>
  <c r="G49" i="3"/>
  <c r="G54" i="3"/>
  <c r="G55" i="3"/>
  <c r="G53" i="3"/>
  <c r="G52" i="3"/>
  <c r="G50" i="3"/>
  <c r="C50" i="3"/>
  <c r="C52" i="3"/>
  <c r="C49" i="3"/>
  <c r="C51" i="3" s="1"/>
  <c r="C55" i="3"/>
  <c r="D52" i="3"/>
  <c r="D50" i="3"/>
  <c r="D55" i="3"/>
  <c r="D49" i="3"/>
  <c r="D51" i="3" s="1"/>
  <c r="D53" i="3" s="1"/>
  <c r="G30" i="9"/>
  <c r="G41" i="1" l="1"/>
  <c r="A61" i="3" s="1"/>
  <c r="G29" i="9"/>
  <c r="T2" i="6"/>
  <c r="S4" i="6"/>
  <c r="S6" i="6" s="1"/>
  <c r="L2" i="6"/>
  <c r="K4" i="6"/>
  <c r="K6" i="6" s="1"/>
  <c r="D54" i="3"/>
  <c r="D56" i="3" s="1"/>
  <c r="G47" i="9"/>
  <c r="H26" i="9"/>
  <c r="F51" i="1"/>
  <c r="C53" i="3"/>
  <c r="C54" i="3" s="1"/>
  <c r="C56" i="3" s="1"/>
  <c r="H35" i="1"/>
  <c r="H32" i="9" s="1"/>
  <c r="E57" i="3"/>
  <c r="E58" i="3" s="1"/>
  <c r="J35" i="1" s="1"/>
  <c r="J32" i="9" s="1"/>
  <c r="I38" i="3"/>
  <c r="B52" i="3"/>
  <c r="B50" i="3"/>
  <c r="B55" i="3"/>
  <c r="B49" i="3"/>
  <c r="B51" i="3" s="1"/>
  <c r="F54" i="3"/>
  <c r="F52" i="3"/>
  <c r="F55" i="3"/>
  <c r="F51" i="3"/>
  <c r="F53" i="3"/>
  <c r="F50" i="3"/>
  <c r="F49" i="3"/>
  <c r="G56" i="3"/>
  <c r="I39" i="3" l="1"/>
  <c r="L4" i="6"/>
  <c r="L6" i="6" s="1"/>
  <c r="M2" i="6"/>
  <c r="I35" i="1"/>
  <c r="I32" i="9" s="1"/>
  <c r="U2" i="6"/>
  <c r="T4" i="6"/>
  <c r="T6" i="6" s="1"/>
  <c r="C43" i="2"/>
  <c r="I55" i="3"/>
  <c r="F50" i="9"/>
  <c r="F56" i="3"/>
  <c r="H36" i="1" s="1"/>
  <c r="H33" i="9" s="1"/>
  <c r="I49" i="3"/>
  <c r="B53" i="3"/>
  <c r="B54" i="3" s="1"/>
  <c r="B56" i="3" s="1"/>
  <c r="I51" i="3"/>
  <c r="I50" i="3"/>
  <c r="I40" i="3"/>
  <c r="H34" i="1"/>
  <c r="H31" i="9" s="1"/>
  <c r="D57" i="3"/>
  <c r="H37" i="1"/>
  <c r="H34" i="9" s="1"/>
  <c r="G57" i="3"/>
  <c r="H33" i="1"/>
  <c r="H30" i="9" s="1"/>
  <c r="C57" i="3"/>
  <c r="I47" i="3" l="1"/>
  <c r="H36" i="9"/>
  <c r="V2" i="6"/>
  <c r="V4" i="6" s="1"/>
  <c r="U4" i="6"/>
  <c r="U6" i="6" s="1"/>
  <c r="M4" i="6"/>
  <c r="M6" i="6" s="1"/>
  <c r="N2" i="6"/>
  <c r="N4" i="6" s="1"/>
  <c r="F57" i="3"/>
  <c r="F58" i="3" s="1"/>
  <c r="J36" i="1" s="1"/>
  <c r="J33" i="9" s="1"/>
  <c r="I53" i="3"/>
  <c r="G36" i="9"/>
  <c r="I54" i="3"/>
  <c r="D58" i="3"/>
  <c r="J34" i="1" s="1"/>
  <c r="J31" i="9" s="1"/>
  <c r="I34" i="1"/>
  <c r="I31" i="9" s="1"/>
  <c r="G58" i="3"/>
  <c r="J37" i="1" s="1"/>
  <c r="J34" i="9" s="1"/>
  <c r="I37" i="1"/>
  <c r="I34" i="9" s="1"/>
  <c r="H32" i="1"/>
  <c r="B57" i="3"/>
  <c r="C58" i="3"/>
  <c r="J33" i="1" s="1"/>
  <c r="J30" i="9" s="1"/>
  <c r="I33" i="1"/>
  <c r="I30" i="9" s="1"/>
  <c r="I36" i="1" l="1"/>
  <c r="I33" i="9" s="1"/>
  <c r="I56" i="3"/>
  <c r="I36" i="9"/>
  <c r="V6" i="6"/>
  <c r="N6" i="6"/>
  <c r="C20" i="2"/>
  <c r="G40" i="9"/>
  <c r="H58" i="3"/>
  <c r="I32" i="1"/>
  <c r="B58" i="3"/>
  <c r="J32" i="1" s="1"/>
  <c r="J29" i="9" s="1"/>
  <c r="H29" i="9"/>
  <c r="H41" i="1"/>
  <c r="H40" i="9" s="1"/>
  <c r="J36" i="9" l="1"/>
  <c r="I57" i="3"/>
  <c r="I58" i="3" s="1"/>
  <c r="E44" i="1"/>
  <c r="E46" i="1"/>
  <c r="I41" i="1"/>
  <c r="I29" i="9"/>
  <c r="C46" i="2" l="1"/>
  <c r="C47" i="2" s="1"/>
  <c r="E45" i="9"/>
  <c r="F50" i="1"/>
  <c r="J46" i="1"/>
  <c r="J44" i="1"/>
  <c r="J43" i="9" s="1"/>
  <c r="E43" i="9"/>
  <c r="I40" i="9"/>
  <c r="J41" i="1"/>
  <c r="J40" i="9" s="1"/>
  <c r="F49" i="1"/>
  <c r="C37" i="2" l="1"/>
  <c r="C38" i="2" s="1"/>
  <c r="C39" i="2" s="1"/>
  <c r="C40" i="2" s="1"/>
  <c r="C42" i="2" s="1"/>
  <c r="G49" i="1" s="1"/>
  <c r="G48" i="9" s="1"/>
  <c r="D20" i="2"/>
  <c r="J45" i="9"/>
  <c r="F49" i="9"/>
  <c r="F52" i="1"/>
  <c r="F48" i="9"/>
  <c r="C30" i="2" l="1"/>
  <c r="F51" i="9"/>
  <c r="F54" i="1"/>
  <c r="C48" i="2"/>
  <c r="F55"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2"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2"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2" authorId="0" shapeId="0" xr:uid="{00000000-0006-0000-0100-000013000000}">
      <text>
        <r>
          <rPr>
            <sz val="8"/>
            <color indexed="81"/>
            <rFont val="Tahoma"/>
            <family val="2"/>
          </rPr>
          <t>Annual rental income before tax. 
80% is used for the calculation.
It is included in the Income Tax calculation.</t>
        </r>
      </text>
    </comment>
    <comment ref="B39" authorId="2" shapeId="0" xr:uid="{00000000-0006-0000-0100-000014000000}">
      <text>
        <r>
          <rPr>
            <b/>
            <sz val="9"/>
            <color indexed="81"/>
            <rFont val="Tahoma"/>
            <family val="2"/>
          </rPr>
          <t>Where income is included, you should identify the income type / source across</t>
        </r>
      </text>
    </comment>
    <comment ref="E45"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<sst xmlns="http://schemas.openxmlformats.org/spreadsheetml/2006/main" count="502" uniqueCount="350">
  <si>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</si>
  <si>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</si>
  <si>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</si>
  <si>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</si>
  <si>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</si>
  <si>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</si>
  <si>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</si>
  <si>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</si>
  <si>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</si>
  <si>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</si>
  <si>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</si>
  <si>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</si>
  <si>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</si>
  <si>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</si>
  <si>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</si>
  <si>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</si>
  <si>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</si>
  <si>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</si>
  <si>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</si>
  <si>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</si>
  <si>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</si>
  <si>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</si>
  <si>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</si>
  <si>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</si>
  <si>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</si>
  <si>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</si>
  <si>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</si>
  <si>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</si>
  <si>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</si>
  <si>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</si>
  <si>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</si>
  <si>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</si>
  <si>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</si>
  <si>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</si>
  <si>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</si>
  <si>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</si>
  <si>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</si>
  <si>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</si>
  <si>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</si>
  <si>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</si>
  <si>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</si>
  <si>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</si>
  <si>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</si>
  <si>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</si>
  <si>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</si>
  <si>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</si>
  <si>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</si>
  <si>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</si>
  <si>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</si>
  <si>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</si>
  <si>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</si>
  <si>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</si>
  <si>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</si>
  <si>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</si>
  <si>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</si>
  <si>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</si>
  <si>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</si>
  <si>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</si>
  <si>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</si>
  <si>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</si>
  <si>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</si>
  <si>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</si>
  <si>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</si>
  <si>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</si>
  <si>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</si>
  <si>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</si>
  <si>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</si>
  <si>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</si>
  <si>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</si>
  <si>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</si>
  <si>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</si>
  <si>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</si>
  <si>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</si>
  <si>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</si>
  <si>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</si>
  <si>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</si>
  <si>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</si>
  <si>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</si>
  <si>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</si>
  <si>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</si>
  <si>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</si>
  <si>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</si>
  <si>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</si>
  <si>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</si>
  <si>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</si>
  <si>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at least $200 to be acceptable.  If less than $200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</si>
  <si>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</si>
  <si>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</si>
  <si>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</si>
  <si>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</si>
  <si>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</si>
  <si>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</si>
  <si>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</si>
  <si>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</si>
  <si>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</si>
  <si>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</si>
  <si>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V13.22 - May 26</t>
  </si>
  <si>
    <t>Mortgage Loan Servicing Calculator</t>
  </si>
  <si>
    <t>Splits / Sub-Loans</t>
  </si>
  <si>
    <t>Split Loan 2</t>
  </si>
  <si>
    <t>Split Loan 3</t>
  </si>
  <si>
    <t>Help in using this Calculator is available on the previous page.</t>
  </si>
  <si>
    <t>Credit Card - Limit</t>
  </si>
  <si>
    <t>Total Loan Amount</t>
  </si>
  <si>
    <t>Use the Tab Key to move between fields on this page.</t>
  </si>
  <si>
    <t>Loan Interest Rate (p.a.)</t>
  </si>
  <si>
    <t>Interest Rate Type</t>
  </si>
  <si>
    <t>Loan Term (Years)</t>
  </si>
  <si>
    <t>Total Monthly Payment</t>
  </si>
  <si>
    <t>Other Commitments not being Financed by the Proposed Loan</t>
  </si>
  <si>
    <t>Type</t>
  </si>
  <si>
    <t>Loan Term (Mths)</t>
  </si>
  <si>
    <t>Interest Rate</t>
  </si>
  <si>
    <t>Amount / Limit</t>
  </si>
  <si>
    <t>Total Monthly Payments</t>
  </si>
  <si>
    <t>Other Mortgage Loans - Owner Occupied</t>
  </si>
  <si>
    <t>Other Mortgage Loans - Investment</t>
  </si>
  <si>
    <t xml:space="preserve">New calc  </t>
  </si>
  <si>
    <t>new line and calc</t>
  </si>
  <si>
    <t>Secured Lines of Credit (Total Limits)</t>
  </si>
  <si>
    <t>Other  (Please Specify)</t>
  </si>
  <si>
    <t>Monthly Rent (Specify Address)</t>
  </si>
  <si>
    <t>BNPL (Total Available Limit / Credit Limit)</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</si>
  <si>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</si>
  <si>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</si>
  <si>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</si>
  <si>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</si>
  <si>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</si>
  <si>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</si>
  <si>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</si>
  <si>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</si>
  <si>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</si>
  <si>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</si>
  <si>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</si>
  <si>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Applicant 2</t>
  </si>
  <si>
    <t>Applicant 3</t>
  </si>
  <si>
    <t>Applicant 4</t>
  </si>
  <si>
    <t>Applicant 5</t>
  </si>
  <si>
    <t>Applicant 6</t>
  </si>
  <si>
    <t>Tax Free PAYG Income</t>
  </si>
  <si>
    <t>Fortnightly</t>
  </si>
  <si>
    <t>Pre-Tax Deductions</t>
  </si>
  <si>
    <t>Centrelink / Maintenance Income</t>
  </si>
  <si>
    <t>Family Tax Benefit</t>
  </si>
  <si>
    <t>Company NPBT - previous year</t>
  </si>
  <si>
    <t>Totals</t>
  </si>
  <si>
    <t>Calculated Living Expenses</t>
  </si>
  <si>
    <t>Per Annum</t>
  </si>
  <si>
    <t>Living Exp. Per Month</t>
  </si>
  <si>
    <t>Applicable for ARA</t>
  </si>
  <si>
    <t>Serviceability Calculations</t>
  </si>
  <si>
    <t>Indicative Maximum Loan Amount</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</si>
  <si>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</si>
  <si>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</si>
  <si>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</si>
  <si>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</si>
  <si>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</si>
  <si>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</si>
  <si>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</si>
  <si>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</si>
  <si>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</si>
  <si>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r>
      <rPr>
        <b/>
        <sz val="10"/>
        <rFont val="Arial"/>
        <family val="2"/>
      </rPr>
      <t>Fortnightly Centrelink Payments (Refer to Policy for acceptable forms)</t>
    </r>
  </si>
  <si>
    <t>Company NPBT - most recent year</t>
  </si>
  <si>
    <t>Amount Used as Company NPBT</t>
  </si>
  <si>
    <t>Company/Business non-cash addbacks (eg: depreciation)</t>
  </si>
  <si>
    <t>Community First Loan Servicing Calculator - Calculations Reference</t>
  </si>
  <si>
    <t>Payment Frequency</t>
  </si>
  <si>
    <t>Annual Multiple</t>
  </si>
  <si>
    <t>Centrelinke Income</t>
  </si>
  <si>
    <t>Servicing Test Interest Rate per annum</t>
  </si>
  <si>
    <t>Weekly</t>
  </si>
  <si>
    <t>Standard Variable Loyalty Rate (SVR)</t>
  </si>
  <si>
    <t>Child Support</t>
  </si>
  <si>
    <t>Superannuation Pension</t>
  </si>
  <si>
    <t>Buffer</t>
  </si>
  <si>
    <t>Monthly</t>
  </si>
  <si>
    <t>Centrelink Pension</t>
  </si>
  <si>
    <t>Other</t>
  </si>
  <si>
    <t>Quarterly</t>
  </si>
  <si>
    <t>Loan Amount Payment Calculations</t>
  </si>
  <si>
    <t>Proposed Loan Details - Split 1</t>
  </si>
  <si>
    <t>Proposed CCard Details</t>
  </si>
  <si>
    <t>Applicable ARA Interest Rate</t>
  </si>
  <si>
    <t>Annually</t>
  </si>
  <si>
    <t>Payment Calculations results are displayed here for the proposed loan at both the proposed loan interest rate and the ??? Test Rate. The higher rate will be used in the NSR calculation.</t>
  </si>
  <si>
    <t>Limit</t>
  </si>
  <si>
    <t>Monthly Repayment</t>
  </si>
  <si>
    <t>Proposed Loan Details - Split 2</t>
  </si>
  <si>
    <t>Proposed Loan Details - Split 3</t>
  </si>
  <si>
    <t>CFCU / Easystreet</t>
  </si>
  <si>
    <t>Amigo</t>
  </si>
  <si>
    <t>Other Banks</t>
  </si>
  <si>
    <t>Credit Card Monthly Payment Percent</t>
  </si>
  <si>
    <t>Rental Allowance Factor</t>
  </si>
  <si>
    <t>Company Rental Factor</t>
  </si>
  <si>
    <t>Extra Annual Overtime Income - Haircut Rate</t>
  </si>
  <si>
    <t>Applicant Income Calculations</t>
  </si>
  <si>
    <t>Tax Free Income</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</si>
  <si>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</si>
  <si>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</si>
  <si>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</si>
  <si>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</si>
  <si>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</si>
  <si>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</si>
  <si>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</si>
  <si>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</si>
  <si>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</si>
  <si>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</si>
  <si>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Base Tax Amount</t>
  </si>
  <si>
    <t>Salary Over Base Tax Amount</t>
  </si>
  <si>
    <t>Tax Scale Rate</t>
  </si>
  <si>
    <t>N/A</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</si>
  <si>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</si>
  <si>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</si>
  <si>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</si>
  <si>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</si>
  <si>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</si>
  <si>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</si>
  <si>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</si>
  <si>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</si>
  <si>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</si>
  <si>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</si>
  <si>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1 Child</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</si>
  <si>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</si>
  <si>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</si>
  <si>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</si>
  <si>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</si>
  <si>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</si>
  <si>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</si>
  <si>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</si>
  <si>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</si>
  <si>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</si>
  <si>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</si>
  <si>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</si>
  <si>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</si>
  <si>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</si>
  <si>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</si>
  <si>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</si>
  <si>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2020/21</t>
  </si>
  <si>
    <t>Gross Annual Salary</t>
  </si>
  <si>
    <t>Company Tax Rate</t>
  </si>
  <si>
    <t>Extra Annual Overtime Income - Haircut</t>
  </si>
  <si>
    <t>Minimum APRA Rate for Other Mortgage</t>
  </si>
  <si>
    <t>Mortgage Assessment Floor Rate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</si>
  <si>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</si>
  <si>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</si>
  <si>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</si>
  <si>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</si>
  <si>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</si>
  <si>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</si>
  <si>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</si>
  <si>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</si>
  <si>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</si>
  <si>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</si>
  <si>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</si>
  <si>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</si>
  <si>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</si>
  <si>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</si>
  <si>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</si>
  <si>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</si>
  <si>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</si>
  <si>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</si>
  <si>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</si>
  <si>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</si>
  <si>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</si>
  <si>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</si>
  <si>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</si>
  <si>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</si>
  <si>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</si>
  <si>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</si>
  <si>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</si>
  <si>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</si>
  <si>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</si>
  <si>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</si>
  <si>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</si>
  <si>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</si>
  <si>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</si>
  <si>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</si>
  <si>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</si>
  <si>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</si>
  <si>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</si>
  <si>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25% above previous year</t>
  </si>
  <si>
    <t>Variable</t>
  </si>
  <si>
    <t>Fixed / Discounted</t>
  </si>
  <si>
    <t>HEM DATA</t>
  </si>
  <si>
    <t>Q1 2026</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</si>
  <si>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</si>
  <si>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</si>
  <si>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</si>
  <si>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</si>
  <si>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</si>
  <si>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</si>
  <si>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</si>
  <si>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</si>
  <si>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</si>
  <si>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</si>
  <si>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</si>
  <si>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</si>
  <si>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</si>
  <si>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</si>
  <si>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</si>
  <si>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</si>
  <si>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</si>
  <si>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</si>
  <si>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</si>
  <si>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</si>
  <si>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</si>
  <si>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</si>
  <si>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</si>
  <si>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</si>
  <si>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</si>
  <si>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</si>
  <si>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</si>
  <si>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</si>
  <si>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</si>
  <si>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</si>
  <si>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</si>
  <si>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</si>
  <si>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</si>
  <si>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</si>
  <si>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</si>
  <si>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</si>
  <si>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</si>
  <si>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t>
  </si>
  <si>
    <t>HEM Q4 2018</t>
  </si>
  <si>
    <t>HEM Q2 2019 and changes to Assessment Rate</t>
  </si>
  <si>
    <t>HEM Q4 2019 and new assessment rate 3.84%</t>
  </si>
  <si>
    <t>HEM Q1 20 and new Floor Rate 5.25%</t>
  </si>
  <si>
    <t>New Tax Rates 20/21 and HEM Q2 20</t>
  </si>
  <si>
    <t xml:space="preserve">HEM Q4 </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</si>
  <si>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</si>
  <si>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</si>
  <si>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</si>
  <si>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</si>
  <si>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</si>
  <si>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</si>
  <si>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</si>
  <si>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</si>
  <si>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</si>
  <si>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Remove AMIGO cards, add interest rates for existing loans, add new field for maintenance income</t>
  </si>
  <si>
    <t>HEM QTR 1 2026</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</si>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</sst>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3" x14ac:knownFonts="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1"/>
      <color theme="4"/>
      <name val="Calibri"/>
      <family val="2"/>
      <scheme val="minor"/>
    </font>
    <font>
      <b/>
      <sz val="11"/>
      <color theme="4"/>
      <name val="Times New Roman"/>
      <family val="1"/>
    </font>
    <font>
      <b/>
      <sz val="14"/>
      <name val="Arial"/>
      <family val="2"/>
    </font>
    <font>
      <b/>
      <sz val="10"/>
      <color theme="4"/>
      <name val="Arial"/>
      <family val="2"/>
    </font>
    <font>
      <sz val="10"/>
      <color theme="4"/>
      <name val="Arial"/>
      <family val="2"/>
    </font>
    <font>
      <b/>
      <sz val="10"/>
      <color rgb="FF000000"/>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6" fillId="5" borderId="0" applyNumberFormat="0" applyBorder="0" applyAlignment="0" applyProtection="0"/>
    <xf numFmtId="0" fontId="16"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58">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4" applyNumberFormat="1" applyFont="1" applyFill="1" applyBorder="1" applyProtection="1">
      <protection hidden="1"/>
    </xf>
    <xf numFmtId="10" fontId="0" fillId="3" borderId="1" xfId="7"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19" fillId="0" borderId="0" xfId="6" applyNumberFormat="1" applyFont="1" applyAlignment="1">
      <alignment horizontal="center"/>
    </xf>
    <xf numFmtId="0" fontId="2" fillId="0" borderId="0" xfId="6" applyFont="1" applyAlignment="1">
      <alignment horizontal="center"/>
    </xf>
    <xf numFmtId="0" fontId="2"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0" fontId="2" fillId="9" borderId="1" xfId="0" quotePrefix="1" applyFont="1" applyFill="1" applyBorder="1" applyAlignment="1" applyProtection="1">
      <alignment horizontal="left" vertical="top" wrapText="1"/>
      <protection hidden="1"/>
    </xf>
    <xf numFmtId="0" fontId="2" fillId="9"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10" borderId="1" xfId="0" applyFont="1" applyFill="1" applyBorder="1" applyAlignment="1" applyProtection="1">
      <alignment horizontal="left" wrapText="1"/>
      <protection hidden="1"/>
    </xf>
    <xf numFmtId="0" fontId="1" fillId="9" borderId="1" xfId="0" applyFont="1" applyFill="1" applyBorder="1" applyAlignment="1" applyProtection="1">
      <alignment horizontal="left"/>
      <protection hidden="1"/>
    </xf>
    <xf numFmtId="165" fontId="2" fillId="4" borderId="9" xfId="4" applyNumberFormat="1" applyFont="1" applyFill="1" applyBorder="1" applyAlignment="1" applyProtection="1">
      <alignment horizontal="right"/>
      <protection hidden="1"/>
    </xf>
    <xf numFmtId="0" fontId="2" fillId="9" borderId="11" xfId="0" applyFont="1" applyFill="1" applyBorder="1" applyAlignment="1" applyProtection="1">
      <alignment horizontal="left"/>
      <protection hidden="1"/>
    </xf>
    <xf numFmtId="170" fontId="1" fillId="0" borderId="1" xfId="4" applyNumberFormat="1" applyFont="1" applyFill="1" applyBorder="1" applyProtection="1"/>
    <xf numFmtId="1" fontId="2" fillId="0" borderId="0" xfId="0" applyNumberFormat="1" applyFont="1"/>
    <xf numFmtId="0" fontId="0" fillId="0" borderId="3" xfId="0" applyBorder="1" applyProtection="1">
      <protection hidden="1"/>
    </xf>
    <xf numFmtId="0" fontId="5" fillId="9" borderId="9" xfId="0" quotePrefix="1" applyFont="1" applyFill="1" applyBorder="1" applyAlignment="1" applyProtection="1">
      <alignment horizontal="center"/>
      <protection hidden="1"/>
    </xf>
    <xf numFmtId="0" fontId="1" fillId="9"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8" fillId="0" borderId="0" xfId="5" applyAlignment="1" applyProtection="1"/>
    <xf numFmtId="0" fontId="2" fillId="0" borderId="0" xfId="0" applyFont="1"/>
    <xf numFmtId="0" fontId="1" fillId="11" borderId="0" xfId="6" applyFill="1" applyAlignment="1">
      <alignment horizontal="center"/>
    </xf>
    <xf numFmtId="0" fontId="1" fillId="11" borderId="0" xfId="6" applyFill="1" applyAlignment="1">
      <alignment horizontal="center" wrapText="1"/>
    </xf>
    <xf numFmtId="0" fontId="2" fillId="11" borderId="0" xfId="6" applyFont="1" applyFill="1" applyAlignment="1">
      <alignment horizontal="center"/>
    </xf>
    <xf numFmtId="44" fontId="2"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9" borderId="1" xfId="0" applyFont="1" applyFill="1" applyBorder="1" applyAlignment="1" applyProtection="1">
      <alignment horizontal="center" vertical="top" wrapText="1"/>
      <protection hidden="1"/>
    </xf>
    <xf numFmtId="0" fontId="2" fillId="9" borderId="2" xfId="0" applyFont="1" applyFill="1" applyBorder="1" applyProtection="1">
      <protection hidden="1"/>
    </xf>
    <xf numFmtId="0" fontId="2" fillId="9" borderId="3" xfId="0" applyFont="1" applyFill="1" applyBorder="1" applyProtection="1">
      <protection hidden="1"/>
    </xf>
    <xf numFmtId="0" fontId="1" fillId="9" borderId="11" xfId="0" quotePrefix="1" applyFont="1" applyFill="1" applyBorder="1" applyAlignment="1" applyProtection="1">
      <alignment wrapText="1"/>
      <protection hidden="1"/>
    </xf>
    <xf numFmtId="0" fontId="2" fillId="9" borderId="13" xfId="0" applyFont="1" applyFill="1" applyBorder="1" applyProtection="1">
      <protection hidden="1"/>
    </xf>
    <xf numFmtId="0" fontId="2" fillId="9" borderId="9" xfId="0" applyFont="1" applyFill="1" applyBorder="1" applyProtection="1">
      <protection hidden="1"/>
    </xf>
    <xf numFmtId="0" fontId="2" fillId="9" borderId="11" xfId="0" applyFont="1" applyFill="1" applyBorder="1" applyProtection="1">
      <protection hidden="1"/>
    </xf>
    <xf numFmtId="0" fontId="2" fillId="9" borderId="2" xfId="0" quotePrefix="1" applyFont="1" applyFill="1" applyBorder="1" applyProtection="1">
      <protection hidden="1"/>
    </xf>
    <xf numFmtId="0" fontId="2" fillId="9" borderId="3" xfId="0" quotePrefix="1" applyFont="1" applyFill="1" applyBorder="1" applyProtection="1">
      <protection hidden="1"/>
    </xf>
    <xf numFmtId="0" fontId="2" fillId="9" borderId="4" xfId="0" quotePrefix="1" applyFont="1" applyFill="1" applyBorder="1" applyProtection="1">
      <protection hidden="1"/>
    </xf>
    <xf numFmtId="3" fontId="2" fillId="12" borderId="1" xfId="0" quotePrefix="1" applyNumberFormat="1" applyFont="1" applyFill="1" applyBorder="1" applyAlignment="1" applyProtection="1">
      <alignment horizontal="left" vertical="center"/>
      <protection hidden="1"/>
    </xf>
    <xf numFmtId="0" fontId="0" fillId="9" borderId="0" xfId="0" applyFill="1"/>
    <xf numFmtId="0" fontId="2" fillId="8" borderId="11" xfId="0" applyFont="1" applyFill="1" applyBorder="1" applyProtection="1">
      <protection hidden="1"/>
    </xf>
    <xf numFmtId="0" fontId="2" fillId="8" borderId="13" xfId="0" applyFont="1" applyFill="1" applyBorder="1" applyProtection="1">
      <protection hidden="1"/>
    </xf>
    <xf numFmtId="0" fontId="2" fillId="8" borderId="11" xfId="0" applyFont="1" applyFill="1" applyBorder="1" applyAlignment="1" applyProtection="1">
      <alignment horizontal="left"/>
      <protection hidden="1"/>
    </xf>
    <xf numFmtId="0" fontId="2" fillId="8" borderId="13"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9"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2" fillId="8" borderId="4" xfId="0" applyFont="1" applyFill="1" applyBorder="1" applyAlignment="1" applyProtection="1">
      <alignment horizontal="center"/>
      <protection hidden="1"/>
    </xf>
    <xf numFmtId="1" fontId="2" fillId="8" borderId="3" xfId="0" applyNumberFormat="1" applyFont="1" applyFill="1" applyBorder="1"/>
    <xf numFmtId="1" fontId="2" fillId="8" borderId="4" xfId="0" applyNumberFormat="1" applyFont="1" applyFill="1" applyBorder="1"/>
    <xf numFmtId="0" fontId="0" fillId="8" borderId="5" xfId="0" applyFill="1" applyBorder="1" applyProtection="1">
      <protection hidden="1"/>
    </xf>
    <xf numFmtId="0" fontId="0" fillId="8" borderId="8" xfId="0" applyFill="1" applyBorder="1" applyProtection="1">
      <protection hidden="1"/>
    </xf>
    <xf numFmtId="0" fontId="2"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2" fillId="8" borderId="1" xfId="0"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2" fillId="8" borderId="1" xfId="0" applyFont="1" applyFill="1" applyBorder="1" applyAlignment="1" applyProtection="1">
      <alignment horizontal="center" vertical="top" wrapText="1"/>
      <protection hidden="1"/>
    </xf>
    <xf numFmtId="0" fontId="1" fillId="8" borderId="5" xfId="0" applyFont="1" applyFill="1" applyBorder="1" applyProtection="1">
      <protection hidden="1"/>
    </xf>
    <xf numFmtId="0" fontId="0" fillId="8" borderId="0" xfId="0" applyFill="1"/>
    <xf numFmtId="0" fontId="2" fillId="8" borderId="5" xfId="0" quotePrefix="1" applyFont="1" applyFill="1" applyBorder="1" applyAlignment="1" applyProtection="1">
      <alignment horizontal="left"/>
      <protection hidden="1"/>
    </xf>
    <xf numFmtId="0" fontId="2" fillId="8" borderId="5"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1" fillId="12" borderId="1" xfId="0" applyFont="1" applyFill="1" applyBorder="1" applyAlignment="1" applyProtection="1">
      <alignment horizontal="left"/>
      <protection locked="0" hidden="1"/>
    </xf>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1" fillId="9" borderId="2" xfId="0" applyFont="1" applyFill="1" applyBorder="1" applyProtection="1">
      <protection hidden="1"/>
    </xf>
    <xf numFmtId="0" fontId="0" fillId="9" borderId="3" xfId="0" applyFill="1" applyBorder="1"/>
    <xf numFmtId="0" fontId="1" fillId="9"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2" fillId="8" borderId="11" xfId="0" quotePrefix="1"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9" borderId="11" xfId="0"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11" fillId="14" borderId="0" xfId="0" applyNumberFormat="1" applyFont="1" applyFill="1"/>
    <xf numFmtId="0" fontId="17" fillId="5" borderId="0" xfId="1" applyFont="1"/>
    <xf numFmtId="0" fontId="17" fillId="5" borderId="0" xfId="1" applyFont="1" applyAlignment="1">
      <alignment horizontal="center"/>
    </xf>
    <xf numFmtId="0" fontId="20" fillId="0" borderId="0" xfId="0" applyFont="1"/>
    <xf numFmtId="14" fontId="20" fillId="0" borderId="0" xfId="0" applyNumberFormat="1" applyFont="1"/>
    <xf numFmtId="0" fontId="20" fillId="0" borderId="0" xfId="0" applyFont="1" applyAlignment="1">
      <alignment wrapText="1"/>
    </xf>
    <xf numFmtId="0" fontId="21" fillId="0" borderId="0" xfId="0" applyFont="1"/>
    <xf numFmtId="165" fontId="21" fillId="0" borderId="0" xfId="4" applyNumberFormat="1" applyFont="1"/>
    <xf numFmtId="0" fontId="22" fillId="0" borderId="0" xfId="0" applyFont="1"/>
    <xf numFmtId="0" fontId="23" fillId="15" borderId="0" xfId="0" applyFont="1" applyFill="1"/>
    <xf numFmtId="0" fontId="24"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19" fillId="14" borderId="20" xfId="6"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9" borderId="3" xfId="0" applyFont="1" applyFill="1" applyBorder="1" applyProtection="1">
      <protection hidden="1"/>
    </xf>
    <xf numFmtId="0" fontId="2"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6" xfId="0" quotePrefix="1" applyFont="1" applyFill="1" applyBorder="1" applyAlignment="1" applyProtection="1">
      <alignment horizontal="left"/>
      <protection hidden="1"/>
    </xf>
    <xf numFmtId="6" fontId="19" fillId="14" borderId="0" xfId="6" applyNumberFormat="1" applyFont="1" applyFill="1" applyAlignment="1">
      <alignment horizontal="center"/>
    </xf>
    <xf numFmtId="165" fontId="21" fillId="0" borderId="22" xfId="4" applyNumberFormat="1" applyFont="1" applyBorder="1"/>
    <xf numFmtId="173" fontId="25" fillId="12" borderId="23" xfId="0" applyNumberFormat="1" applyFont="1" applyFill="1" applyBorder="1" applyAlignment="1">
      <alignment horizontal="center" vertical="center" wrapText="1"/>
    </xf>
    <xf numFmtId="2" fontId="20" fillId="0" borderId="0" xfId="0" applyNumberFormat="1" applyFont="1" applyAlignment="1">
      <alignment horizontal="center"/>
    </xf>
    <xf numFmtId="0" fontId="26" fillId="0" borderId="0" xfId="0" applyFont="1" applyAlignment="1">
      <alignment wrapText="1"/>
    </xf>
    <xf numFmtId="0" fontId="15"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5" borderId="24" xfId="0" applyNumberFormat="1" applyFont="1" applyFill="1" applyBorder="1" applyAlignment="1">
      <alignment horizontal="left"/>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1"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1" fillId="8" borderId="14" xfId="0" quotePrefix="1" applyFont="1" applyFill="1" applyBorder="1" applyAlignment="1" applyProtection="1">
      <alignment horizontal="center" vertical="center" wrapText="1"/>
      <protection hidden="1"/>
    </xf>
    <xf numFmtId="0" fontId="2" fillId="2" borderId="11" xfId="0" applyFont="1" applyFill="1" applyBorder="1"/>
    <xf numFmtId="1" fontId="2" fillId="0" borderId="11" xfId="0" applyNumberFormat="1" applyFont="1" applyBorder="1" applyAlignment="1" applyProtection="1">
      <alignment horizontal="right"/>
      <protection locked="0"/>
    </xf>
    <xf numFmtId="1" fontId="2" fillId="0" borderId="9" xfId="0" applyNumberFormat="1" applyFont="1" applyBorder="1" applyAlignment="1" applyProtection="1">
      <alignment horizontal="center"/>
      <protection locked="0"/>
    </xf>
    <xf numFmtId="164" fontId="2" fillId="0" borderId="11" xfId="4" applyNumberFormat="1" applyFont="1" applyFill="1" applyBorder="1" applyAlignment="1" applyProtection="1">
      <protection locked="0"/>
    </xf>
    <xf numFmtId="164" fontId="2" fillId="8" borderId="11" xfId="4" applyNumberFormat="1" applyFont="1" applyFill="1" applyBorder="1" applyAlignment="1" applyProtection="1">
      <protection hidden="1"/>
    </xf>
    <xf numFmtId="10" fontId="2" fillId="0" borderId="11" xfId="7" applyNumberFormat="1" applyFont="1" applyFill="1" applyBorder="1" applyAlignment="1" applyProtection="1">
      <protection locked="0"/>
    </xf>
    <xf numFmtId="166" fontId="2" fillId="0" borderId="11" xfId="3" applyNumberFormat="1" applyFont="1" applyFill="1" applyBorder="1" applyAlignment="1" applyProtection="1">
      <protection locked="0"/>
    </xf>
    <xf numFmtId="164" fontId="2" fillId="8" borderId="1" xfId="4" applyNumberFormat="1" applyFont="1" applyFill="1" applyBorder="1" applyAlignment="1" applyProtection="1">
      <protection hidden="1"/>
    </xf>
    <xf numFmtId="10" fontId="2" fillId="0" borderId="11" xfId="7" applyNumberFormat="1" applyFont="1" applyFill="1" applyBorder="1" applyAlignment="1" applyProtection="1">
      <alignment horizontal="center"/>
      <protection locked="0"/>
    </xf>
    <xf numFmtId="10" fontId="0" fillId="0" borderId="0" xfId="7" applyNumberFormat="1" applyFont="1" applyProtection="1">
      <protection hidden="1"/>
    </xf>
    <xf numFmtId="8" fontId="0" fillId="0" borderId="0" xfId="0" applyNumberFormat="1" applyProtection="1">
      <protection hidden="1"/>
    </xf>
    <xf numFmtId="8" fontId="2" fillId="16" borderId="12" xfId="0" applyNumberFormat="1" applyFont="1" applyFill="1" applyBorder="1" applyProtection="1">
      <protection hidden="1"/>
    </xf>
    <xf numFmtId="6" fontId="27" fillId="0" borderId="16" xfId="0" applyNumberFormat="1" applyFont="1" applyBorder="1" applyAlignment="1">
      <alignment horizontal="center"/>
    </xf>
    <xf numFmtId="173" fontId="28" fillId="12" borderId="13" xfId="0" applyNumberFormat="1" applyFont="1" applyFill="1" applyBorder="1" applyAlignment="1">
      <alignment horizontal="left"/>
    </xf>
    <xf numFmtId="1" fontId="2" fillId="0" borderId="1" xfId="0" applyNumberFormat="1" applyFont="1" applyBorder="1" applyAlignment="1" applyProtection="1">
      <alignment horizontal="center"/>
      <protection locked="0"/>
    </xf>
    <xf numFmtId="164" fontId="2" fillId="0" borderId="1" xfId="4" applyNumberFormat="1" applyFont="1" applyFill="1" applyBorder="1" applyAlignment="1" applyProtection="1">
      <protection locked="0"/>
    </xf>
    <xf numFmtId="10" fontId="2" fillId="0" borderId="1" xfId="7" applyNumberFormat="1" applyFont="1" applyFill="1" applyBorder="1" applyAlignment="1" applyProtection="1">
      <protection locked="0"/>
    </xf>
    <xf numFmtId="10" fontId="2" fillId="0" borderId="1" xfId="7" applyNumberFormat="1" applyFont="1" applyFill="1" applyBorder="1" applyAlignment="1" applyProtection="1">
      <alignment horizontal="center"/>
      <protection locked="0"/>
    </xf>
    <xf numFmtId="166" fontId="2" fillId="0" borderId="1" xfId="3"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1" xfId="3" applyNumberFormat="1" applyFont="1" applyFill="1" applyBorder="1" applyAlignment="1" applyProtection="1"/>
    <xf numFmtId="0" fontId="2" fillId="0" borderId="0" xfId="0" applyFont="1" applyAlignment="1" applyProtection="1">
      <alignment horizontal="center"/>
      <protection hidden="1"/>
    </xf>
    <xf numFmtId="2" fontId="2" fillId="0" borderId="0" xfId="0" applyNumberFormat="1" applyFont="1" applyProtection="1">
      <protection hidden="1"/>
    </xf>
    <xf numFmtId="0" fontId="29" fillId="0" borderId="0" xfId="0" applyFont="1" applyAlignment="1" applyProtection="1">
      <alignment horizontal="center"/>
      <protection hidden="1"/>
    </xf>
    <xf numFmtId="0" fontId="29" fillId="0" borderId="12" xfId="0" applyFont="1" applyBorder="1" applyAlignment="1" applyProtection="1">
      <alignment horizontal="center"/>
      <protection hidden="1"/>
    </xf>
    <xf numFmtId="0" fontId="1" fillId="0" borderId="0" xfId="0" applyFont="1" applyAlignment="1" applyProtection="1">
      <alignment horizontal="left"/>
      <protection hidden="1"/>
    </xf>
    <xf numFmtId="8" fontId="2" fillId="0" borderId="0" xfId="0" applyNumberFormat="1" applyFont="1" applyProtection="1">
      <protection hidden="1"/>
    </xf>
    <xf numFmtId="165" fontId="30" fillId="0" borderId="0" xfId="4" applyNumberFormat="1" applyFont="1"/>
    <xf numFmtId="170" fontId="0" fillId="0" borderId="0" xfId="0" applyNumberFormat="1" applyProtection="1">
      <protection hidden="1"/>
    </xf>
    <xf numFmtId="0" fontId="20" fillId="0" borderId="0" xfId="0" applyFont="1" applyAlignment="1">
      <alignment horizontal="center"/>
    </xf>
    <xf numFmtId="17" fontId="20" fillId="0" borderId="0" xfId="0" applyNumberFormat="1" applyFont="1"/>
    <xf numFmtId="165" fontId="31" fillId="0" borderId="0" xfId="4" applyNumberFormat="1" applyFont="1"/>
    <xf numFmtId="0" fontId="1" fillId="9" borderId="11" xfId="0" quotePrefix="1" applyFont="1" applyFill="1" applyBorder="1" applyAlignment="1" applyProtection="1">
      <alignment horizontal="left"/>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applyFont="1" applyFill="1" applyBorder="1" applyAlignment="1" applyProtection="1">
      <alignment horizontal="center"/>
      <protection hidden="1"/>
    </xf>
    <xf numFmtId="0" fontId="1" fillId="0" borderId="9" xfId="0" applyFont="1" applyBorder="1" applyAlignment="1" applyProtection="1">
      <alignment horizontal="center"/>
      <protection locked="0"/>
    </xf>
    <xf numFmtId="0" fontId="2" fillId="2" borderId="1" xfId="0" quotePrefix="1" applyFont="1" applyFill="1" applyBorder="1" applyProtection="1">
      <protection hidden="1"/>
    </xf>
    <xf numFmtId="10" fontId="1" fillId="0" borderId="9" xfId="7" applyNumberFormat="1" applyFont="1" applyBorder="1" applyAlignment="1" applyProtection="1">
      <alignment horizontal="center"/>
      <protection locked="0"/>
    </xf>
    <xf numFmtId="0" fontId="1" fillId="9" borderId="7" xfId="0" applyFont="1" applyFill="1" applyBorder="1" applyAlignment="1" applyProtection="1">
      <alignment horizontal="left"/>
      <protection hidden="1"/>
    </xf>
    <xf numFmtId="3" fontId="2" fillId="12" borderId="1" xfId="0" quotePrefix="1" applyNumberFormat="1" applyFont="1" applyFill="1" applyBorder="1" applyAlignment="1" applyProtection="1">
      <alignment horizontal="center" vertical="center"/>
      <protection hidden="1"/>
    </xf>
    <xf numFmtId="170" fontId="2" fillId="0" borderId="1" xfId="4" applyNumberFormat="1" applyFont="1" applyFill="1" applyBorder="1" applyAlignment="1" applyProtection="1">
      <alignment horizontal="center"/>
      <protection locked="0"/>
    </xf>
    <xf numFmtId="0" fontId="2" fillId="0" borderId="1" xfId="0" quotePrefix="1" applyFont="1" applyBorder="1" applyAlignment="1" applyProtection="1">
      <alignment horizontal="center" vertical="center"/>
      <protection locked="0" hidden="1"/>
    </xf>
    <xf numFmtId="0" fontId="1" fillId="9" borderId="13" xfId="0" quotePrefix="1" applyFont="1" applyFill="1" applyBorder="1" applyProtection="1">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 fillId="0" borderId="0" xfId="0" quotePrefix="1" applyFont="1" applyAlignment="1" applyProtection="1">
      <alignment horizontal="left"/>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9" borderId="1" xfId="0" quotePrefix="1" applyFont="1" applyFill="1" applyBorder="1" applyAlignment="1" applyProtection="1">
      <alignment horizontal="left"/>
      <protection hidden="1"/>
    </xf>
    <xf numFmtId="0" fontId="1" fillId="9" borderId="15" xfId="0" quotePrefix="1" applyFont="1" applyFill="1" applyBorder="1" applyAlignment="1" applyProtection="1">
      <alignment horizontal="left"/>
      <protection hidden="1"/>
    </xf>
    <xf numFmtId="0" fontId="1" fillId="9" borderId="14" xfId="0" quotePrefix="1" applyFont="1" applyFill="1" applyBorder="1" applyAlignment="1" applyProtection="1">
      <alignment horizontal="left"/>
      <protection hidden="1"/>
    </xf>
    <xf numFmtId="0" fontId="1" fillId="0" borderId="5" xfId="0" applyFont="1" applyBorder="1" applyProtection="1">
      <protection hidden="1"/>
    </xf>
    <xf numFmtId="168" fontId="1" fillId="9"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9" borderId="4" xfId="0" applyNumberFormat="1" applyFont="1" applyFill="1" applyBorder="1" applyAlignment="1" applyProtection="1">
      <alignment horizontal="center"/>
      <protection hidden="1"/>
    </xf>
    <xf numFmtId="0" fontId="1" fillId="9" borderId="11" xfId="0" applyFont="1" applyFill="1" applyBorder="1" applyProtection="1">
      <protection hidden="1"/>
    </xf>
    <xf numFmtId="0" fontId="1" fillId="9" borderId="13" xfId="0" applyFont="1" applyFill="1" applyBorder="1" applyProtection="1">
      <protection hidden="1"/>
    </xf>
    <xf numFmtId="170" fontId="1" fillId="8" borderId="1" xfId="4" applyNumberFormat="1" applyFont="1" applyFill="1" applyBorder="1" applyProtection="1"/>
    <xf numFmtId="2" fontId="1" fillId="9" borderId="11" xfId="0" quotePrefix="1" applyNumberFormat="1" applyFont="1" applyFill="1" applyBorder="1" applyProtection="1">
      <protection hidden="1"/>
    </xf>
    <xf numFmtId="2" fontId="1" fillId="9" borderId="13" xfId="0" quotePrefix="1" applyNumberFormat="1" applyFont="1" applyFill="1" applyBorder="1" applyProtection="1">
      <protection hidden="1"/>
    </xf>
    <xf numFmtId="170" fontId="1" fillId="8" borderId="1" xfId="4" applyNumberFormat="1" applyFont="1" applyFill="1" applyBorder="1" applyProtection="1">
      <protection hidden="1"/>
    </xf>
    <xf numFmtId="0" fontId="1" fillId="9" borderId="3"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 fillId="12" borderId="1" xfId="0" quotePrefix="1" applyFont="1" applyFill="1" applyBorder="1" applyAlignment="1" applyProtection="1">
      <alignment horizontal="left"/>
      <protection locked="0" hidden="1"/>
    </xf>
    <xf numFmtId="170" fontId="1" fillId="8" borderId="1" xfId="4" applyNumberFormat="1" applyFont="1" applyFill="1" applyBorder="1" applyAlignment="1" applyProtection="1">
      <alignment vertical="center"/>
      <protection hidden="1"/>
    </xf>
    <xf numFmtId="170" fontId="1" fillId="0" borderId="1" xfId="4" applyNumberFormat="1" applyFont="1" applyFill="1" applyBorder="1" applyAlignment="1" applyProtection="1">
      <alignment vertical="center"/>
      <protection locked="0"/>
    </xf>
    <xf numFmtId="170" fontId="1" fillId="0" borderId="11" xfId="4" applyNumberFormat="1" applyFont="1" applyFill="1" applyBorder="1" applyProtection="1">
      <protection locked="0"/>
    </xf>
    <xf numFmtId="170" fontId="1" fillId="8" borderId="9" xfId="4" applyNumberFormat="1" applyFont="1" applyFill="1" applyBorder="1" applyProtection="1">
      <protection hidden="1"/>
    </xf>
    <xf numFmtId="170" fontId="1" fillId="8" borderId="7" xfId="4" applyNumberFormat="1" applyFont="1" applyFill="1" applyBorder="1" applyProtection="1">
      <protection hidden="1"/>
    </xf>
    <xf numFmtId="170" fontId="1" fillId="8" borderId="8" xfId="4" applyNumberFormat="1" applyFont="1" applyFill="1" applyBorder="1" applyProtection="1">
      <protection hidden="1"/>
    </xf>
    <xf numFmtId="170" fontId="1" fillId="8" borderId="11" xfId="4" applyNumberFormat="1" applyFont="1" applyFill="1" applyBorder="1" applyProtection="1">
      <protection hidden="1"/>
    </xf>
    <xf numFmtId="165" fontId="1" fillId="9" borderId="9" xfId="0" quotePrefix="1"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8" borderId="6"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9" xfId="0" quotePrefix="1" applyFont="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170" fontId="1" fillId="0" borderId="1" xfId="4"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4" applyNumberFormat="1" applyFont="1" applyFill="1" applyBorder="1" applyAlignment="1" applyProtection="1">
      <alignment vertical="center"/>
    </xf>
    <xf numFmtId="170" fontId="1" fillId="0" borderId="1" xfId="4" applyNumberFormat="1" applyFont="1" applyFill="1" applyBorder="1" applyAlignment="1" applyProtection="1">
      <alignment vertical="center"/>
      <protection hidden="1"/>
    </xf>
    <xf numFmtId="170" fontId="1" fillId="0" borderId="10" xfId="4" applyNumberFormat="1" applyFont="1" applyFill="1" applyBorder="1" applyProtection="1"/>
    <xf numFmtId="170" fontId="1" fillId="0" borderId="10" xfId="4" applyNumberFormat="1" applyFont="1" applyFill="1" applyBorder="1" applyProtection="1">
      <protection hidden="1"/>
    </xf>
    <xf numFmtId="170" fontId="1" fillId="0" borderId="10" xfId="4" applyNumberFormat="1" applyFont="1" applyFill="1" applyBorder="1" applyAlignment="1" applyProtection="1">
      <alignment horizontal="center"/>
      <protection hidden="1"/>
    </xf>
    <xf numFmtId="170" fontId="1" fillId="0" borderId="11" xfId="4" applyNumberFormat="1" applyFont="1" applyFill="1" applyBorder="1" applyProtection="1"/>
    <xf numFmtId="0" fontId="1" fillId="8" borderId="6" xfId="0" applyFont="1" applyFill="1" applyBorder="1" applyAlignment="1" applyProtection="1">
      <alignment horizontal="left"/>
      <protection hidden="1"/>
    </xf>
    <xf numFmtId="170" fontId="1" fillId="0" borderId="9" xfId="4" applyNumberFormat="1" applyFont="1" applyFill="1" applyBorder="1" applyProtection="1">
      <protection hidden="1"/>
    </xf>
    <xf numFmtId="170" fontId="1" fillId="0" borderId="7" xfId="4" applyNumberFormat="1" applyFont="1" applyFill="1" applyBorder="1" applyProtection="1">
      <protection hidden="1"/>
    </xf>
    <xf numFmtId="170" fontId="1" fillId="0" borderId="8" xfId="4" applyNumberFormat="1" applyFont="1" applyFill="1" applyBorder="1" applyProtection="1">
      <protection hidden="1"/>
    </xf>
    <xf numFmtId="170" fontId="1" fillId="0" borderId="11" xfId="4" applyNumberFormat="1" applyFont="1" applyFill="1" applyBorder="1" applyProtection="1">
      <protection hidden="1"/>
    </xf>
    <xf numFmtId="170" fontId="1" fillId="8" borderId="6" xfId="4" applyNumberFormat="1" applyFont="1" applyFill="1" applyBorder="1" applyProtection="1">
      <protection hidden="1"/>
    </xf>
    <xf numFmtId="3" fontId="1" fillId="3" borderId="11" xfId="3" applyNumberFormat="1" applyFont="1" applyFill="1" applyBorder="1" applyProtection="1">
      <protection hidden="1"/>
    </xf>
    <xf numFmtId="174" fontId="1" fillId="3" borderId="1" xfId="3"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3"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7" applyNumberFormat="1" applyFont="1" applyFill="1" applyBorder="1" applyProtection="1">
      <protection hidden="1"/>
    </xf>
    <xf numFmtId="175" fontId="1" fillId="3" borderId="1" xfId="7" applyNumberFormat="1" applyFont="1" applyFill="1" applyBorder="1" applyProtection="1">
      <protection hidden="1"/>
    </xf>
    <xf numFmtId="10" fontId="1" fillId="3" borderId="1" xfId="7" applyNumberFormat="1" applyFont="1" applyFill="1" applyBorder="1" applyProtection="1">
      <protection hidden="1"/>
    </xf>
    <xf numFmtId="0" fontId="1" fillId="2" borderId="3" xfId="0" quotePrefix="1" applyFont="1" applyFill="1" applyBorder="1" applyAlignment="1" applyProtection="1">
      <alignment horizontal="left"/>
      <protection hidden="1"/>
    </xf>
    <xf numFmtId="3" fontId="1" fillId="3" borderId="10" xfId="3" applyNumberFormat="1" applyFont="1" applyFill="1" applyBorder="1" applyProtection="1">
      <protection hidden="1"/>
    </xf>
    <xf numFmtId="165" fontId="1" fillId="3" borderId="15" xfId="4" applyNumberFormat="1" applyFont="1" applyFill="1" applyBorder="1" applyProtection="1">
      <protection hidden="1"/>
    </xf>
    <xf numFmtId="0" fontId="1" fillId="2" borderId="11" xfId="0" quotePrefix="1" applyFont="1" applyFill="1" applyBorder="1" applyAlignment="1" applyProtection="1">
      <alignment horizontal="left"/>
      <protection hidden="1"/>
    </xf>
    <xf numFmtId="165" fontId="1" fillId="0" borderId="0" xfId="4"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9" xfId="0" applyNumberFormat="1" applyFont="1" applyFill="1" applyBorder="1" applyProtection="1">
      <protection hidden="1"/>
    </xf>
    <xf numFmtId="10" fontId="1" fillId="3" borderId="1" xfId="0" applyNumberFormat="1" applyFont="1" applyFill="1" applyBorder="1" applyProtection="1">
      <protection hidden="1"/>
    </xf>
    <xf numFmtId="170" fontId="1" fillId="10" borderId="1" xfId="4" applyNumberFormat="1" applyFont="1" applyFill="1" applyBorder="1" applyProtection="1">
      <protection hidden="1"/>
    </xf>
    <xf numFmtId="170" fontId="1" fillId="3" borderId="1" xfId="4" applyNumberFormat="1" applyFont="1" applyFill="1" applyBorder="1" applyProtection="1">
      <protection hidden="1"/>
    </xf>
    <xf numFmtId="165" fontId="1" fillId="0" borderId="20" xfId="7" applyNumberFormat="1" applyFont="1" applyBorder="1" applyAlignment="1">
      <alignment horizontal="right"/>
    </xf>
    <xf numFmtId="165" fontId="1" fillId="3" borderId="2" xfId="4" applyNumberFormat="1" applyFont="1" applyFill="1" applyBorder="1"/>
    <xf numFmtId="165" fontId="1" fillId="3" borderId="3" xfId="4" applyNumberFormat="1" applyFont="1" applyFill="1" applyBorder="1"/>
    <xf numFmtId="10" fontId="1" fillId="3" borderId="4" xfId="7" applyNumberFormat="1" applyFont="1" applyFill="1" applyBorder="1"/>
    <xf numFmtId="165" fontId="1" fillId="3" borderId="5" xfId="4" applyNumberFormat="1" applyFont="1" applyFill="1" applyBorder="1"/>
    <xf numFmtId="165" fontId="1" fillId="3" borderId="0" xfId="4" applyNumberFormat="1" applyFont="1" applyFill="1" applyBorder="1"/>
    <xf numFmtId="10" fontId="1" fillId="3" borderId="6" xfId="7" applyNumberFormat="1" applyFont="1" applyFill="1" applyBorder="1"/>
    <xf numFmtId="165" fontId="1" fillId="3" borderId="7" xfId="4" applyNumberFormat="1" applyFont="1" applyFill="1" applyBorder="1"/>
    <xf numFmtId="10" fontId="1" fillId="3" borderId="8" xfId="7" applyNumberFormat="1" applyFont="1" applyFill="1" applyBorder="1"/>
    <xf numFmtId="10" fontId="1" fillId="3" borderId="9" xfId="0" applyNumberFormat="1" applyFont="1" applyFill="1" applyBorder="1"/>
    <xf numFmtId="10" fontId="1" fillId="3" borderId="4" xfId="0" applyNumberFormat="1" applyFont="1" applyFill="1" applyBorder="1"/>
    <xf numFmtId="10" fontId="1" fillId="16" borderId="12" xfId="0" applyNumberFormat="1" applyFont="1" applyFill="1" applyBorder="1"/>
    <xf numFmtId="0" fontId="1" fillId="3" borderId="8" xfId="0" applyFont="1" applyFill="1" applyBorder="1"/>
    <xf numFmtId="0" fontId="1" fillId="3" borderId="9" xfId="0" applyFont="1" applyFill="1" applyBorder="1"/>
    <xf numFmtId="164" fontId="1" fillId="3" borderId="1" xfId="4" applyNumberFormat="1" applyFont="1" applyFill="1" applyBorder="1" applyProtection="1"/>
    <xf numFmtId="167" fontId="1" fillId="3" borderId="4" xfId="0" applyNumberFormat="1" applyFont="1" applyFill="1" applyBorder="1"/>
    <xf numFmtId="0" fontId="1" fillId="3" borderId="6" xfId="0" applyFont="1" applyFill="1" applyBorder="1"/>
    <xf numFmtId="169" fontId="1" fillId="3" borderId="10" xfId="3" applyNumberFormat="1" applyFont="1" applyFill="1" applyBorder="1"/>
    <xf numFmtId="6" fontId="1" fillId="16" borderId="12" xfId="4" applyNumberFormat="1" applyFont="1" applyFill="1" applyBorder="1"/>
    <xf numFmtId="6" fontId="1" fillId="3" borderId="15" xfId="4" applyNumberFormat="1" applyFont="1" applyFill="1" applyBorder="1"/>
    <xf numFmtId="6" fontId="1" fillId="3" borderId="1" xfId="4" applyNumberFormat="1" applyFont="1" applyFill="1" applyBorder="1"/>
    <xf numFmtId="8" fontId="1" fillId="3" borderId="1" xfId="4" applyNumberFormat="1" applyFont="1" applyFill="1" applyBorder="1"/>
    <xf numFmtId="10" fontId="1" fillId="3" borderId="9" xfId="7" applyNumberFormat="1" applyFont="1" applyFill="1" applyBorder="1" applyProtection="1"/>
    <xf numFmtId="43" fontId="1" fillId="3" borderId="4" xfId="3" applyFont="1" applyFill="1" applyBorder="1" applyProtection="1"/>
    <xf numFmtId="0" fontId="1" fillId="2" borderId="13" xfId="0" applyFont="1" applyFill="1" applyBorder="1"/>
    <xf numFmtId="0" fontId="1" fillId="3" borderId="1" xfId="4" applyNumberFormat="1" applyFont="1" applyFill="1" applyBorder="1"/>
    <xf numFmtId="44" fontId="1" fillId="13" borderId="1" xfId="4" applyFont="1" applyFill="1" applyBorder="1" applyAlignment="1">
      <alignment vertical="center"/>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1" fillId="0" borderId="0" xfId="0" applyFont="1" applyProtection="1">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1" fillId="0" borderId="13" xfId="0" applyFont="1" applyBorder="1" applyProtection="1">
      <protection hidden="1"/>
    </xf>
    <xf numFmtId="0" fontId="1" fillId="0" borderId="16" xfId="0" applyFont="1" applyBorder="1" applyProtection="1">
      <protection hidden="1"/>
    </xf>
    <xf numFmtId="0" fontId="1" fillId="9" borderId="7"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9" xfId="0" quotePrefix="1" applyFont="1" applyFill="1" applyBorder="1" applyAlignment="1" applyProtection="1">
      <alignment horizontal="center"/>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0" fontId="1" fillId="9" borderId="11" xfId="0" quotePrefix="1" applyFont="1" applyFill="1" applyBorder="1" applyAlignment="1" applyProtection="1">
      <alignment horizontal="left"/>
      <protection hidden="1"/>
    </xf>
    <xf numFmtId="0" fontId="11" fillId="9" borderId="14" xfId="0" quotePrefix="1" applyFont="1" applyFill="1" applyBorder="1" applyAlignment="1" applyProtection="1">
      <alignment horizontal="center" vertical="center" wrapText="1"/>
      <protection hidden="1"/>
    </xf>
    <xf numFmtId="0" fontId="11" fillId="9" borderId="10"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wrapText="1"/>
      <protection hidden="1"/>
    </xf>
    <xf numFmtId="0" fontId="5" fillId="0" borderId="8" xfId="0" quotePrefix="1" applyFont="1" applyBorder="1" applyAlignment="1" applyProtection="1">
      <alignment horizontal="center" vertical="center" wrapText="1"/>
      <protection hidden="1"/>
    </xf>
    <xf numFmtId="0" fontId="0" fillId="9" borderId="5" xfId="0" applyFill="1" applyBorder="1" applyProtection="1">
      <protection hidden="1"/>
    </xf>
    <xf numFmtId="0" fontId="0" fillId="9" borderId="0" xfId="0" applyFill="1" applyProtection="1">
      <protection hidden="1"/>
    </xf>
    <xf numFmtId="0" fontId="0" fillId="9" borderId="6" xfId="0" applyFill="1" applyBorder="1" applyProtection="1">
      <protection hidden="1"/>
    </xf>
    <xf numFmtId="0" fontId="9" fillId="0" borderId="3"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0" fillId="9" borderId="7" xfId="0" applyFill="1" applyBorder="1" applyProtection="1">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164" fontId="2" fillId="0" borderId="11" xfId="4" applyNumberFormat="1" applyFont="1" applyFill="1" applyBorder="1" applyAlignment="1" applyProtection="1">
      <protection locked="0"/>
    </xf>
    <xf numFmtId="164" fontId="2" fillId="0" borderId="9" xfId="4"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164" fontId="2" fillId="8" borderId="11" xfId="4" applyNumberFormat="1" applyFont="1" applyFill="1" applyBorder="1" applyAlignment="1" applyProtection="1">
      <protection hidden="1"/>
    </xf>
    <xf numFmtId="164" fontId="2" fillId="8" borderId="9" xfId="4" applyNumberFormat="1" applyFont="1" applyFill="1" applyBorder="1" applyAlignment="1" applyProtection="1">
      <protection hidden="1"/>
    </xf>
    <xf numFmtId="0" fontId="2" fillId="9" borderId="11" xfId="0" applyFont="1" applyFill="1" applyBorder="1" applyAlignment="1" applyProtection="1">
      <alignment horizontal="left"/>
      <protection hidden="1"/>
    </xf>
    <xf numFmtId="0" fontId="2" fillId="9" borderId="13" xfId="0" applyFont="1" applyFill="1" applyBorder="1" applyAlignment="1" applyProtection="1">
      <alignment horizontal="left"/>
      <protection hidden="1"/>
    </xf>
    <xf numFmtId="0" fontId="1" fillId="0" borderId="9" xfId="0" applyFont="1" applyBorder="1" applyAlignment="1" applyProtection="1">
      <alignment horizontal="left"/>
      <protection locked="0"/>
    </xf>
    <xf numFmtId="2" fontId="1" fillId="9" borderId="2" xfId="0" quotePrefix="1" applyNumberFormat="1" applyFont="1" applyFill="1" applyBorder="1" applyAlignment="1" applyProtection="1">
      <alignment horizontal="left"/>
      <protection hidden="1"/>
    </xf>
    <xf numFmtId="2" fontId="1" fillId="9" borderId="3"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2" fillId="0" borderId="11" xfId="7" applyNumberFormat="1" applyFont="1" applyFill="1" applyBorder="1" applyAlignment="1" applyProtection="1">
      <protection locked="0"/>
    </xf>
    <xf numFmtId="10" fontId="2" fillId="0" borderId="13" xfId="7"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9" xfId="3" applyNumberFormat="1" applyFont="1" applyFill="1" applyBorder="1" applyAlignment="1" applyProtection="1"/>
    <xf numFmtId="166" fontId="2" fillId="0" borderId="11" xfId="3" applyNumberFormat="1" applyFont="1" applyFill="1" applyBorder="1" applyAlignment="1" applyProtection="1">
      <protection locked="0"/>
    </xf>
    <xf numFmtId="166" fontId="2" fillId="0" borderId="9" xfId="3" applyNumberFormat="1" applyFont="1" applyFill="1" applyBorder="1" applyAlignment="1" applyProtection="1">
      <protection locked="0"/>
    </xf>
    <xf numFmtId="10" fontId="2" fillId="0" borderId="11" xfId="7" applyNumberFormat="1" applyFont="1" applyFill="1" applyBorder="1" applyAlignment="1" applyProtection="1">
      <alignment horizontal="right"/>
      <protection locked="0"/>
    </xf>
    <xf numFmtId="10" fontId="2" fillId="0" borderId="13" xfId="7" applyNumberFormat="1" applyFont="1" applyFill="1" applyBorder="1" applyAlignment="1" applyProtection="1">
      <alignment horizontal="right"/>
      <protection locked="0"/>
    </xf>
    <xf numFmtId="0" fontId="2" fillId="9" borderId="5" xfId="0" applyFont="1" applyFill="1" applyBorder="1" applyAlignment="1" applyProtection="1">
      <alignment horizontal="center"/>
      <protection hidden="1"/>
    </xf>
    <xf numFmtId="0" fontId="2" fillId="9" borderId="0" xfId="0" applyFont="1" applyFill="1" applyAlignment="1" applyProtection="1">
      <alignment horizontal="center"/>
      <protection hidden="1"/>
    </xf>
    <xf numFmtId="0" fontId="2" fillId="9" borderId="6" xfId="0" applyFont="1" applyFill="1" applyBorder="1" applyAlignment="1" applyProtection="1">
      <alignment horizontal="center"/>
      <protection hidden="1"/>
    </xf>
    <xf numFmtId="0" fontId="2" fillId="9" borderId="7" xfId="0" applyFont="1" applyFill="1" applyBorder="1" applyAlignment="1" applyProtection="1">
      <alignment horizontal="center"/>
      <protection hidden="1"/>
    </xf>
    <xf numFmtId="0" fontId="2" fillId="9" borderId="16" xfId="0" applyFont="1" applyFill="1" applyBorder="1" applyAlignment="1" applyProtection="1">
      <alignment horizontal="center"/>
      <protection hidden="1"/>
    </xf>
    <xf numFmtId="0" fontId="2" fillId="9" borderId="8" xfId="0" applyFont="1" applyFill="1" applyBorder="1" applyAlignment="1" applyProtection="1">
      <alignment horizontal="center"/>
      <protection hidden="1"/>
    </xf>
    <xf numFmtId="0" fontId="4" fillId="8" borderId="2" xfId="0" quotePrefix="1" applyFont="1" applyFill="1" applyBorder="1" applyAlignment="1" applyProtection="1">
      <alignment horizontal="center" vertical="center" wrapText="1"/>
      <protection hidden="1"/>
    </xf>
    <xf numFmtId="0" fontId="4" fillId="8" borderId="3" xfId="0" quotePrefix="1" applyFont="1" applyFill="1" applyBorder="1" applyAlignment="1" applyProtection="1">
      <alignment horizontal="center" vertical="center" wrapText="1"/>
      <protection hidden="1"/>
    </xf>
    <xf numFmtId="0" fontId="4" fillId="8" borderId="6" xfId="0" quotePrefix="1" applyFont="1" applyFill="1" applyBorder="1" applyAlignment="1" applyProtection="1">
      <alignment horizontal="center" vertical="center" wrapText="1"/>
      <protection hidden="1"/>
    </xf>
    <xf numFmtId="0" fontId="4" fillId="8" borderId="5" xfId="0" quotePrefix="1" applyFont="1" applyFill="1" applyBorder="1" applyAlignment="1" applyProtection="1">
      <alignment horizontal="center" vertical="center" wrapText="1"/>
      <protection hidden="1"/>
    </xf>
    <xf numFmtId="0" fontId="4" fillId="8" borderId="0" xfId="0" quotePrefix="1" applyFont="1" applyFill="1" applyAlignment="1" applyProtection="1">
      <alignment horizontal="center" vertical="center" wrapText="1"/>
      <protection hidden="1"/>
    </xf>
    <xf numFmtId="0" fontId="4" fillId="8" borderId="7" xfId="0" quotePrefix="1" applyFont="1" applyFill="1" applyBorder="1" applyAlignment="1" applyProtection="1">
      <alignment horizontal="center" vertical="center" wrapText="1"/>
      <protection hidden="1"/>
    </xf>
    <xf numFmtId="0" fontId="4" fillId="8" borderId="16" xfId="0" quotePrefix="1" applyFont="1" applyFill="1" applyBorder="1" applyAlignment="1" applyProtection="1">
      <alignment horizontal="center" vertical="center" wrapText="1"/>
      <protection hidden="1"/>
    </xf>
    <xf numFmtId="0" fontId="4" fillId="8" borderId="8" xfId="0" quotePrefix="1" applyFont="1" applyFill="1" applyBorder="1" applyAlignment="1" applyProtection="1">
      <alignment horizontal="center" vertical="center" wrapText="1"/>
      <protection hidden="1"/>
    </xf>
    <xf numFmtId="171" fontId="2" fillId="8" borderId="11" xfId="4" applyNumberFormat="1" applyFont="1" applyFill="1" applyBorder="1" applyAlignment="1" applyProtection="1">
      <alignment horizontal="center"/>
      <protection hidden="1"/>
    </xf>
    <xf numFmtId="171" fontId="2" fillId="8" borderId="9" xfId="4" applyNumberFormat="1"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3" xfId="0" quotePrefix="1" applyFont="1" applyFill="1" applyBorder="1" applyProtection="1">
      <protection hidden="1"/>
    </xf>
    <xf numFmtId="0" fontId="1" fillId="9" borderId="9"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quotePrefix="1" applyFont="1" applyFill="1" applyBorder="1" applyProtection="1">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quotePrefix="1" applyFont="1" applyAlignment="1" applyProtection="1">
      <alignment horizontal="left"/>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2" fillId="9" borderId="11" xfId="0" applyFont="1" applyFill="1" applyBorder="1" applyAlignment="1" applyProtection="1">
      <alignment horizontal="center"/>
      <protection hidden="1"/>
    </xf>
    <xf numFmtId="0" fontId="2" fillId="9" borderId="13" xfId="0" quotePrefix="1" applyFont="1" applyFill="1" applyBorder="1" applyAlignment="1" applyProtection="1">
      <alignment horizontal="center"/>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1" fillId="0" borderId="5" xfId="0" applyFont="1" applyBorder="1" applyAlignment="1" applyProtection="1">
      <alignment horizontal="left"/>
      <protection hidden="1"/>
    </xf>
    <xf numFmtId="0" fontId="1" fillId="0" borderId="5" xfId="0"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protection hidden="1"/>
    </xf>
    <xf numFmtId="0" fontId="1" fillId="0" borderId="6" xfId="0" quotePrefix="1" applyFont="1" applyBorder="1" applyAlignment="1" applyProtection="1">
      <alignment horizontal="left"/>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3" fillId="9" borderId="11"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7" fillId="0" borderId="7" xfId="0" applyFont="1" applyBorder="1" applyProtection="1">
      <protection hidden="1"/>
    </xf>
    <xf numFmtId="0" fontId="7" fillId="0" borderId="16" xfId="0" applyFont="1" applyBorder="1" applyProtection="1">
      <protection hidden="1"/>
    </xf>
    <xf numFmtId="0" fontId="7" fillId="0" borderId="8" xfId="0" applyFont="1" applyBorder="1" applyProtection="1">
      <protection hidden="1"/>
    </xf>
    <xf numFmtId="0" fontId="1" fillId="0" borderId="6" xfId="0" applyFont="1" applyBorder="1" applyProtection="1">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11" fillId="8" borderId="10" xfId="0" quotePrefix="1" applyFont="1" applyFill="1" applyBorder="1" applyAlignment="1" applyProtection="1">
      <alignment horizontal="center" vertical="center" wrapText="1"/>
      <protection hidden="1"/>
    </xf>
    <xf numFmtId="0" fontId="11" fillId="8" borderId="14"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10" fontId="2" fillId="0" borderId="11" xfId="7" applyNumberFormat="1" applyFont="1" applyFill="1" applyBorder="1" applyAlignment="1" applyProtection="1"/>
    <xf numFmtId="10" fontId="2" fillId="0" borderId="13" xfId="7" applyNumberFormat="1" applyFont="1" applyFill="1" applyBorder="1" applyAlignment="1" applyProtection="1"/>
    <xf numFmtId="166" fontId="2" fillId="8" borderId="13" xfId="3" applyNumberFormat="1" applyFont="1" applyFill="1" applyBorder="1" applyAlignment="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164" fontId="2" fillId="0" borderId="11" xfId="4" applyNumberFormat="1" applyFont="1" applyFill="1" applyBorder="1" applyAlignment="1" applyProtection="1"/>
    <xf numFmtId="164" fontId="2" fillId="0" borderId="13" xfId="4" applyNumberFormat="1" applyFont="1" applyFill="1" applyBorder="1" applyAlignment="1" applyProtection="1"/>
    <xf numFmtId="0" fontId="0" fillId="8" borderId="11" xfId="0" applyFill="1" applyBorder="1" applyProtection="1">
      <protection hidden="1"/>
    </xf>
    <xf numFmtId="0" fontId="0" fillId="8" borderId="3" xfId="0" applyFill="1" applyBorder="1" applyProtection="1">
      <protection hidden="1"/>
    </xf>
    <xf numFmtId="0" fontId="0" fillId="8" borderId="4" xfId="0" applyFill="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1" fontId="2" fillId="0" borderId="1" xfId="0" applyNumberFormat="1" applyFont="1" applyBorder="1" applyAlignment="1">
      <alignment horizontal="right"/>
    </xf>
    <xf numFmtId="164" fontId="2" fillId="8" borderId="13" xfId="4" applyNumberFormat="1" applyFont="1" applyFill="1" applyBorder="1" applyAlignment="1" applyProtection="1">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2" fillId="0" borderId="11" xfId="3" applyNumberFormat="1" applyFont="1" applyFill="1" applyBorder="1" applyAlignment="1" applyProtection="1"/>
    <xf numFmtId="166" fontId="2" fillId="0" borderId="13" xfId="3" applyNumberFormat="1" applyFont="1" applyFill="1" applyBorder="1" applyAlignment="1" applyProtection="1"/>
    <xf numFmtId="0" fontId="1" fillId="0" borderId="13" xfId="0" applyFont="1" applyBorder="1" applyAlignment="1">
      <alignment horizontal="left"/>
    </xf>
    <xf numFmtId="0" fontId="1" fillId="0" borderId="9" xfId="0" applyFont="1" applyBorder="1" applyAlignment="1">
      <alignment horizontal="left"/>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1" fillId="8" borderId="11" xfId="0" applyFont="1" applyFill="1" applyBorder="1" applyProtection="1">
      <protection hidden="1"/>
    </xf>
    <xf numFmtId="0" fontId="1" fillId="8" borderId="13" xfId="0" applyFont="1" applyFill="1" applyBorder="1" applyProtection="1">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11"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8" borderId="1" xfId="0" quotePrefix="1" applyFont="1" applyFill="1" applyBorder="1" applyAlignment="1" applyProtection="1">
      <alignment horizontal="left"/>
      <protection hidden="1"/>
    </xf>
    <xf numFmtId="171" fontId="2" fillId="0" borderId="11" xfId="4" applyNumberFormat="1" applyFont="1" applyFill="1" applyBorder="1" applyAlignment="1" applyProtection="1">
      <alignment horizontal="center"/>
      <protection hidden="1"/>
    </xf>
    <xf numFmtId="171" fontId="2" fillId="0" borderId="9" xfId="4" applyNumberFormat="1" applyFont="1" applyFill="1" applyBorder="1" applyAlignment="1" applyProtection="1">
      <alignment horizontal="center"/>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8" borderId="9" xfId="0" quotePrefix="1" applyFont="1" applyFill="1" applyBorder="1" applyProtection="1">
      <protection hidden="1"/>
    </xf>
    <xf numFmtId="0" fontId="2" fillId="8" borderId="9" xfId="0" quotePrefix="1" applyFont="1" applyFill="1" applyBorder="1" applyProtection="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4" fillId="8" borderId="4" xfId="0" quotePrefix="1" applyFont="1" applyFill="1" applyBorder="1" applyAlignment="1" applyProtection="1">
      <alignment horizontal="center" vertical="center" wrapText="1"/>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0" fontId="2" fillId="2" borderId="11" xfId="0"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2" fillId="2" borderId="11" xfId="0" quotePrefix="1" applyFont="1" applyFill="1" applyBorder="1" applyAlignment="1" applyProtection="1">
      <alignment horizontal="left"/>
      <protection hidden="1"/>
    </xf>
    <xf numFmtId="3" fontId="4" fillId="3" borderId="10" xfId="3" quotePrefix="1" applyNumberFormat="1" applyFont="1" applyFill="1" applyBorder="1" applyAlignment="1" applyProtection="1">
      <alignment horizontal="left" vertical="center" wrapText="1"/>
      <protection hidden="1"/>
    </xf>
    <xf numFmtId="3" fontId="4" fillId="3" borderId="14" xfId="3" quotePrefix="1" applyNumberFormat="1" applyFont="1" applyFill="1" applyBorder="1" applyAlignment="1" applyProtection="1">
      <alignment horizontal="left" vertical="center" wrapText="1"/>
      <protection hidden="1"/>
    </xf>
    <xf numFmtId="3" fontId="4" fillId="3" borderId="15" xfId="3" quotePrefix="1" applyNumberFormat="1" applyFont="1" applyFill="1" applyBorder="1" applyAlignment="1" applyProtection="1">
      <alignment horizontal="left" vertical="center" wrapText="1"/>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5" xfId="0" quotePrefix="1" applyFont="1" applyFill="1" applyBorder="1" applyAlignment="1" applyProtection="1">
      <alignment horizontal="center"/>
      <protection hidden="1"/>
    </xf>
    <xf numFmtId="0" fontId="2" fillId="2" borderId="0" xfId="0" quotePrefix="1" applyFont="1" applyFill="1" applyAlignment="1" applyProtection="1">
      <alignment horizontal="center"/>
      <protection hidden="1"/>
    </xf>
    <xf numFmtId="0" fontId="1" fillId="2" borderId="11" xfId="0" applyFont="1" applyFill="1" applyBorder="1"/>
    <xf numFmtId="0" fontId="1" fillId="2" borderId="9" xfId="0" applyFont="1" applyFill="1" applyBorder="1"/>
    <xf numFmtId="0" fontId="1" fillId="2" borderId="1" xfId="0" applyFont="1" applyFill="1" applyBorder="1" applyAlignment="1">
      <alignment horizontal="left"/>
    </xf>
    <xf numFmtId="0" fontId="1" fillId="2" borderId="7" xfId="0" applyFont="1" applyFill="1" applyBorder="1" applyAlignment="1">
      <alignment horizontal="left"/>
    </xf>
    <xf numFmtId="0" fontId="1" fillId="2" borderId="16"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6" xfId="0" applyFont="1" applyFill="1" applyBorder="1" applyAlignment="1">
      <alignment horizontal="left"/>
    </xf>
    <xf numFmtId="0" fontId="1" fillId="2" borderId="11" xfId="0" quotePrefix="1" applyFont="1" applyFill="1" applyBorder="1" applyAlignment="1">
      <alignment horizontal="left"/>
    </xf>
    <xf numFmtId="0" fontId="2" fillId="2" borderId="11" xfId="0" applyFont="1" applyFill="1" applyBorder="1"/>
    <xf numFmtId="0" fontId="2" fillId="2" borderId="13" xfId="0" applyFont="1" applyFill="1" applyBorder="1"/>
    <xf numFmtId="0" fontId="2" fillId="2" borderId="9" xfId="0" applyFont="1" applyFill="1" applyBorder="1"/>
    <xf numFmtId="0" fontId="1" fillId="2" borderId="1" xfId="0" applyFont="1" applyFill="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3" applyFont="1" applyFill="1" applyBorder="1" applyAlignment="1" applyProtection="1"/>
    <xf numFmtId="43" fontId="1" fillId="3" borderId="9" xfId="3" applyFont="1" applyFill="1" applyBorder="1" applyAlignment="1" applyProtection="1"/>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 xfId="0" quotePrefix="1" applyFont="1" applyFill="1" applyBorder="1" applyAlignment="1">
      <alignment horizontal="left"/>
    </xf>
    <xf numFmtId="0" fontId="1" fillId="2" borderId="9" xfId="0" quotePrefix="1"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11" xfId="0" quotePrefix="1" applyFont="1" applyFill="1" applyBorder="1" applyAlignment="1">
      <alignment horizontal="left"/>
    </xf>
    <xf numFmtId="0" fontId="2" fillId="2" borderId="9" xfId="0" quotePrefix="1" applyFont="1" applyFill="1" applyBorder="1" applyAlignment="1">
      <alignment horizontal="left"/>
    </xf>
    <xf numFmtId="0" fontId="2" fillId="2" borderId="11" xfId="0" applyFont="1" applyFill="1" applyBorder="1" applyAlignment="1">
      <alignment horizontal="right"/>
    </xf>
    <xf numFmtId="0" fontId="2" fillId="2" borderId="13" xfId="0" applyFont="1" applyFill="1" applyBorder="1" applyAlignment="1">
      <alignment horizontal="right"/>
    </xf>
    <xf numFmtId="0" fontId="17" fillId="6" borderId="0" xfId="2" applyFont="1" applyAlignment="1"/>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2" fillId="16" borderId="19" xfId="0" applyFont="1" applyFill="1" applyBorder="1" applyAlignment="1">
      <alignment horizontal="center" vertical="center"/>
    </xf>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53816</xdr:colOff>
      <xdr:row>1</xdr:row>
      <xdr:rowOff>323848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09375" defaultRowHeight="13.2" x14ac:dyDescent="0.25"/>
  <cols>
    <col min="1" max="1" width="29.44140625" style="4" customWidth="1"/>
    <col min="2" max="2" width="20.5546875" style="53" customWidth="1"/>
    <col min="3" max="3" width="20.5546875" style="4" customWidth="1"/>
    <col min="4" max="4" width="20.44140625" style="4" customWidth="1"/>
    <col min="5" max="5" width="20.5546875" style="4" customWidth="1"/>
    <col min="6" max="6" width="34.44140625" style="4" customWidth="1"/>
    <col min="7" max="7" width="1.109375" style="4" customWidth="1"/>
    <col min="8" max="16384" width="9.109375" style="4"/>
  </cols>
  <sheetData>
    <row r="1" spans="1:6" ht="15.6" x14ac:dyDescent="0.25">
      <c r="A1" s="422" t="s">
        <v>0</v>
      </c>
      <c r="B1" s="423"/>
      <c r="C1" s="423"/>
      <c r="D1" s="423"/>
      <c r="E1" s="423"/>
      <c r="F1" s="50" t="str">
        <f>Main!J1</f>
        <v>CFCU V13.22 - May 26</v>
      </c>
    </row>
    <row r="2" spans="1:6" ht="15.6" x14ac:dyDescent="0.3">
      <c r="A2" s="424"/>
      <c r="B2" s="425"/>
      <c r="C2" s="425"/>
      <c r="D2" s="425"/>
      <c r="E2" s="425"/>
      <c r="F2" s="426"/>
    </row>
    <row r="3" spans="1:6" s="6" customFormat="1" ht="15" x14ac:dyDescent="0.25">
      <c r="A3" s="410" t="s">
        <v>1</v>
      </c>
      <c r="B3" s="411"/>
      <c r="C3" s="411"/>
      <c r="D3" s="411"/>
      <c r="E3" s="411"/>
      <c r="F3" s="337"/>
    </row>
    <row r="4" spans="1:6" s="6" customFormat="1" ht="3.9" customHeight="1" x14ac:dyDescent="0.25">
      <c r="A4" s="402"/>
      <c r="B4" s="403"/>
      <c r="C4" s="403"/>
      <c r="D4" s="403"/>
      <c r="E4" s="403"/>
      <c r="F4" s="404"/>
    </row>
    <row r="5" spans="1:6" s="6" customFormat="1" ht="15" x14ac:dyDescent="0.25">
      <c r="A5" s="51" t="s">
        <v>2</v>
      </c>
      <c r="B5" s="406" t="s">
        <v>3</v>
      </c>
      <c r="C5" s="406"/>
      <c r="D5" s="406"/>
      <c r="E5" s="406"/>
      <c r="F5" s="407"/>
    </row>
    <row r="6" spans="1:6" s="6" customFormat="1" ht="3.9" customHeight="1" x14ac:dyDescent="0.25">
      <c r="A6" s="402"/>
      <c r="B6" s="403"/>
      <c r="C6" s="403"/>
      <c r="D6" s="403"/>
      <c r="E6" s="403"/>
      <c r="F6" s="404"/>
    </row>
    <row r="7" spans="1:6" s="6" customFormat="1" ht="15" x14ac:dyDescent="0.25">
      <c r="A7" s="231" t="s">
        <v>4</v>
      </c>
      <c r="B7" s="405" t="s">
        <v>5</v>
      </c>
      <c r="C7" s="406"/>
      <c r="D7" s="406"/>
      <c r="E7" s="406"/>
      <c r="F7" s="407"/>
    </row>
    <row r="8" spans="1:6" s="6" customFormat="1" ht="3.9" customHeight="1" x14ac:dyDescent="0.25">
      <c r="A8" s="402"/>
      <c r="B8" s="403"/>
      <c r="C8" s="403"/>
      <c r="D8" s="403"/>
      <c r="E8" s="403"/>
      <c r="F8" s="404"/>
    </row>
    <row r="9" spans="1:6" s="6" customFormat="1" ht="15" x14ac:dyDescent="0.25">
      <c r="A9" s="231" t="s">
        <v>6</v>
      </c>
      <c r="B9" s="405" t="s">
        <v>7</v>
      </c>
      <c r="C9" s="406"/>
      <c r="D9" s="406"/>
      <c r="E9" s="406"/>
      <c r="F9" s="407"/>
    </row>
    <row r="10" spans="1:6" s="6" customFormat="1" ht="3.9" customHeight="1" x14ac:dyDescent="0.25">
      <c r="A10" s="402"/>
      <c r="B10" s="403"/>
      <c r="C10" s="403"/>
      <c r="D10" s="403"/>
      <c r="E10" s="403"/>
      <c r="F10" s="404"/>
    </row>
    <row r="11" spans="1:6" s="6" customFormat="1" ht="15" x14ac:dyDescent="0.25">
      <c r="A11" s="51" t="s">
        <v>8</v>
      </c>
      <c r="B11" s="405" t="s">
        <v>9</v>
      </c>
      <c r="C11" s="406"/>
      <c r="D11" s="406"/>
      <c r="E11" s="406"/>
      <c r="F11" s="407"/>
    </row>
    <row r="12" spans="1:6" s="6" customFormat="1" ht="3.9" customHeight="1" x14ac:dyDescent="0.25">
      <c r="A12" s="402"/>
      <c r="B12" s="403"/>
      <c r="C12" s="403"/>
      <c r="D12" s="403"/>
      <c r="E12" s="403"/>
      <c r="F12" s="404"/>
    </row>
    <row r="13" spans="1:6" s="6" customFormat="1" ht="15" x14ac:dyDescent="0.25">
      <c r="A13" s="129" t="s">
        <v>10</v>
      </c>
      <c r="B13" s="405" t="s">
        <v>11</v>
      </c>
      <c r="C13" s="406"/>
      <c r="D13" s="406"/>
      <c r="E13" s="406"/>
      <c r="F13" s="407"/>
    </row>
    <row r="14" spans="1:6" s="6" customFormat="1" ht="15" x14ac:dyDescent="0.25">
      <c r="A14" s="232"/>
      <c r="B14" s="406" t="s">
        <v>12</v>
      </c>
      <c r="C14" s="406"/>
      <c r="D14" s="406"/>
      <c r="E14" s="406"/>
      <c r="F14" s="407"/>
    </row>
    <row r="15" spans="1:6" s="6" customFormat="1" ht="3.9" customHeight="1" x14ac:dyDescent="0.25">
      <c r="A15" s="430"/>
      <c r="B15" s="431"/>
      <c r="C15" s="431"/>
      <c r="D15" s="431"/>
      <c r="E15" s="431"/>
      <c r="F15" s="432"/>
    </row>
    <row r="16" spans="1:6" s="6" customFormat="1" ht="3.9" customHeight="1" x14ac:dyDescent="0.25">
      <c r="A16" s="427"/>
      <c r="B16" s="428"/>
      <c r="C16" s="428"/>
      <c r="D16" s="428"/>
      <c r="E16" s="428"/>
      <c r="F16" s="429"/>
    </row>
    <row r="17" spans="1:6" ht="3.9" customHeight="1" x14ac:dyDescent="0.25">
      <c r="A17" s="419"/>
      <c r="B17" s="420"/>
      <c r="C17" s="420"/>
      <c r="D17" s="420"/>
      <c r="E17" s="420"/>
      <c r="F17" s="421"/>
    </row>
    <row r="18" spans="1:6" s="6" customFormat="1" ht="15" x14ac:dyDescent="0.25">
      <c r="A18" s="51" t="s">
        <v>13</v>
      </c>
      <c r="B18" s="405" t="s">
        <v>14</v>
      </c>
      <c r="C18" s="406"/>
      <c r="D18" s="406"/>
      <c r="E18" s="406"/>
      <c r="F18" s="407"/>
    </row>
    <row r="19" spans="1:6" s="6" customFormat="1" ht="3.9" customHeight="1" x14ac:dyDescent="0.25">
      <c r="A19" s="402"/>
      <c r="B19" s="403"/>
      <c r="C19" s="403"/>
      <c r="D19" s="403"/>
      <c r="E19" s="403"/>
      <c r="F19" s="404"/>
    </row>
    <row r="20" spans="1:6" s="132" customFormat="1" ht="29.4" customHeight="1" x14ac:dyDescent="0.25">
      <c r="A20" s="131" t="s">
        <v>15</v>
      </c>
      <c r="B20" s="433" t="s">
        <v>16</v>
      </c>
      <c r="C20" s="434"/>
      <c r="D20" s="434"/>
      <c r="E20" s="434"/>
      <c r="F20" s="435"/>
    </row>
    <row r="21" spans="1:6" s="6" customFormat="1" ht="15" x14ac:dyDescent="0.25">
      <c r="A21" s="402"/>
      <c r="B21" s="403"/>
      <c r="C21" s="403"/>
      <c r="D21" s="403"/>
      <c r="E21" s="403"/>
      <c r="F21" s="404"/>
    </row>
    <row r="22" spans="1:6" s="6" customFormat="1" ht="15" x14ac:dyDescent="0.25">
      <c r="A22" s="51" t="s">
        <v>17</v>
      </c>
      <c r="B22" s="417" t="s">
        <v>18</v>
      </c>
      <c r="C22" s="405"/>
      <c r="D22" s="405"/>
      <c r="E22" s="405"/>
      <c r="F22" s="418"/>
    </row>
    <row r="23" spans="1:6" s="6" customFormat="1" ht="15" x14ac:dyDescent="0.25">
      <c r="A23" s="51" t="s">
        <v>19</v>
      </c>
      <c r="B23" s="417" t="s">
        <v>20</v>
      </c>
      <c r="C23" s="405"/>
      <c r="D23" s="405"/>
      <c r="E23" s="405"/>
      <c r="F23" s="418"/>
    </row>
    <row r="24" spans="1:6" s="6" customFormat="1" ht="15" x14ac:dyDescent="0.25">
      <c r="A24" s="402"/>
      <c r="B24" s="403"/>
      <c r="C24" s="403"/>
      <c r="D24" s="403"/>
      <c r="E24" s="403"/>
      <c r="F24" s="404"/>
    </row>
    <row r="25" spans="1:6" s="6" customFormat="1" ht="15" customHeight="1" x14ac:dyDescent="0.25">
      <c r="A25" s="54" t="s">
        <v>21</v>
      </c>
      <c r="B25" s="415" t="s">
        <v>22</v>
      </c>
      <c r="C25" s="408"/>
      <c r="D25" s="408"/>
      <c r="E25" s="408"/>
      <c r="F25" s="409"/>
    </row>
    <row r="26" spans="1:6" s="6" customFormat="1" ht="15" x14ac:dyDescent="0.25">
      <c r="A26" s="233"/>
      <c r="B26" s="416"/>
      <c r="C26" s="408"/>
      <c r="D26" s="408"/>
      <c r="E26" s="408"/>
      <c r="F26" s="409"/>
    </row>
    <row r="27" spans="1:6" s="6" customFormat="1" ht="15" x14ac:dyDescent="0.25">
      <c r="A27" s="232"/>
      <c r="B27" s="416"/>
      <c r="C27" s="408"/>
      <c r="D27" s="408"/>
      <c r="E27" s="408"/>
      <c r="F27" s="409"/>
    </row>
    <row r="28" spans="1:6" s="6" customFormat="1" ht="15" x14ac:dyDescent="0.25">
      <c r="A28" s="402"/>
      <c r="B28" s="403"/>
      <c r="C28" s="403"/>
      <c r="D28" s="403"/>
      <c r="E28" s="403"/>
      <c r="F28" s="404"/>
    </row>
    <row r="29" spans="1:6" s="6" customFormat="1" ht="15" x14ac:dyDescent="0.25">
      <c r="A29" s="129" t="s">
        <v>23</v>
      </c>
      <c r="B29" s="406" t="s">
        <v>24</v>
      </c>
      <c r="C29" s="406"/>
      <c r="D29" s="406"/>
      <c r="E29" s="406"/>
      <c r="F29" s="407"/>
    </row>
    <row r="30" spans="1:6" s="6" customFormat="1" ht="15" x14ac:dyDescent="0.25">
      <c r="A30" s="232"/>
      <c r="B30" s="406" t="s">
        <v>25</v>
      </c>
      <c r="C30" s="406"/>
      <c r="D30" s="406"/>
      <c r="E30" s="406"/>
      <c r="F30" s="407"/>
    </row>
    <row r="31" spans="1:6" s="6" customFormat="1" ht="15" x14ac:dyDescent="0.25">
      <c r="A31" s="402"/>
      <c r="B31" s="403"/>
      <c r="C31" s="403"/>
      <c r="D31" s="403"/>
      <c r="E31" s="403"/>
      <c r="F31" s="404"/>
    </row>
    <row r="32" spans="1:6" s="6" customFormat="1" ht="15" x14ac:dyDescent="0.25">
      <c r="A32" s="410" t="s">
        <v>26</v>
      </c>
      <c r="B32" s="411"/>
      <c r="C32" s="411"/>
      <c r="D32" s="411"/>
      <c r="E32" s="411"/>
      <c r="F32" s="337"/>
    </row>
    <row r="33" spans="1:256" s="6" customFormat="1" ht="15" x14ac:dyDescent="0.25">
      <c r="A33" s="402"/>
      <c r="B33" s="403"/>
      <c r="C33" s="403"/>
      <c r="D33" s="403"/>
      <c r="E33" s="403"/>
      <c r="F33" s="404"/>
    </row>
    <row r="34" spans="1:256" s="6" customFormat="1" ht="15" x14ac:dyDescent="0.25">
      <c r="A34" s="51" t="s">
        <v>27</v>
      </c>
      <c r="B34" s="405" t="s">
        <v>28</v>
      </c>
      <c r="C34" s="406"/>
      <c r="D34" s="406"/>
      <c r="E34" s="406"/>
      <c r="F34" s="407"/>
    </row>
    <row r="35" spans="1:256" s="6" customFormat="1" ht="15" x14ac:dyDescent="0.25">
      <c r="A35" s="23"/>
      <c r="B35" s="405" t="s">
        <v>29</v>
      </c>
      <c r="C35" s="406"/>
      <c r="D35" s="406"/>
      <c r="E35" s="406"/>
      <c r="F35" s="407"/>
    </row>
    <row r="36" spans="1:256" s="6" customFormat="1" ht="15" x14ac:dyDescent="0.25">
      <c r="A36" s="402"/>
      <c r="B36" s="403"/>
      <c r="C36" s="403"/>
      <c r="D36" s="403"/>
      <c r="E36" s="403"/>
      <c r="F36" s="404"/>
    </row>
    <row r="37" spans="1:256" s="6" customFormat="1" ht="15" x14ac:dyDescent="0.25">
      <c r="A37" s="231" t="s">
        <v>30</v>
      </c>
      <c r="B37" s="405" t="s">
        <v>31</v>
      </c>
      <c r="C37" s="406"/>
      <c r="D37" s="406"/>
      <c r="E37" s="406"/>
      <c r="F37" s="407"/>
    </row>
    <row r="38" spans="1:256" s="6" customFormat="1" ht="15" x14ac:dyDescent="0.25">
      <c r="A38" s="23"/>
      <c r="B38" s="405" t="s">
        <v>32</v>
      </c>
      <c r="C38" s="406"/>
      <c r="D38" s="406"/>
      <c r="E38" s="406"/>
      <c r="F38" s="407"/>
    </row>
    <row r="39" spans="1:256" s="6" customFormat="1" ht="15" x14ac:dyDescent="0.25">
      <c r="A39" s="23"/>
      <c r="B39" s="405" t="s">
        <v>33</v>
      </c>
      <c r="C39" s="406"/>
      <c r="D39" s="406"/>
      <c r="E39" s="406"/>
      <c r="F39" s="407"/>
    </row>
    <row r="40" spans="1:256" s="6" customFormat="1" ht="15" x14ac:dyDescent="0.25">
      <c r="A40" s="23"/>
      <c r="B40" s="405" t="s">
        <v>34</v>
      </c>
      <c r="C40" s="406"/>
      <c r="D40" s="406"/>
      <c r="E40" s="406"/>
      <c r="F40" s="407"/>
    </row>
    <row r="41" spans="1:256" s="6" customFormat="1" ht="15" x14ac:dyDescent="0.25">
      <c r="A41" s="430"/>
      <c r="B41" s="431"/>
      <c r="C41" s="431"/>
      <c r="D41" s="431"/>
      <c r="E41" s="431"/>
      <c r="F41" s="432"/>
    </row>
    <row r="42" spans="1:256" s="6" customFormat="1" ht="15" x14ac:dyDescent="0.25">
      <c r="A42" s="410" t="s">
        <v>35</v>
      </c>
      <c r="B42" s="411"/>
      <c r="C42" s="411"/>
      <c r="D42" s="411"/>
      <c r="E42" s="411"/>
      <c r="F42" s="337"/>
    </row>
    <row r="43" spans="1:256" s="6" customFormat="1" ht="15" x14ac:dyDescent="0.25">
      <c r="A43" s="427"/>
      <c r="B43" s="428"/>
      <c r="C43" s="428"/>
      <c r="D43" s="428"/>
      <c r="E43" s="428"/>
      <c r="F43" s="429"/>
    </row>
    <row r="44" spans="1:256" s="6" customFormat="1" ht="15" x14ac:dyDescent="0.25">
      <c r="A44" s="51" t="s">
        <v>36</v>
      </c>
      <c r="B44" s="405" t="s">
        <v>37</v>
      </c>
      <c r="C44" s="406"/>
      <c r="D44" s="406"/>
      <c r="E44" s="406"/>
      <c r="F44" s="407"/>
    </row>
    <row r="45" spans="1:256" s="6" customFormat="1" ht="15" x14ac:dyDescent="0.25">
      <c r="A45" s="402"/>
      <c r="B45" s="403"/>
      <c r="C45" s="403"/>
      <c r="D45" s="403"/>
      <c r="E45" s="403"/>
      <c r="F45" s="404"/>
    </row>
    <row r="46" spans="1:256" s="6" customFormat="1" ht="15" x14ac:dyDescent="0.25">
      <c r="A46" s="51" t="s">
        <v>38</v>
      </c>
      <c r="B46" s="405" t="s">
        <v>39</v>
      </c>
      <c r="C46" s="406"/>
      <c r="D46" s="406"/>
      <c r="E46" s="406"/>
      <c r="F46" s="407"/>
    </row>
    <row r="47" spans="1:256" s="7" customFormat="1" x14ac:dyDescent="0.25">
      <c r="A47" s="402"/>
      <c r="B47" s="403"/>
      <c r="C47" s="403"/>
      <c r="D47" s="403"/>
      <c r="E47" s="403"/>
      <c r="F47" s="404"/>
      <c r="G47" s="403"/>
      <c r="H47" s="403"/>
      <c r="I47" s="403"/>
      <c r="J47" s="403"/>
      <c r="K47" s="403"/>
      <c r="L47" s="404"/>
      <c r="M47" s="402"/>
      <c r="N47" s="403"/>
      <c r="O47" s="403"/>
      <c r="P47" s="403"/>
      <c r="Q47" s="403"/>
      <c r="R47" s="404"/>
      <c r="S47" s="402"/>
      <c r="T47" s="403"/>
      <c r="U47" s="403"/>
      <c r="V47" s="403"/>
      <c r="W47" s="403"/>
      <c r="X47" s="404"/>
      <c r="Y47" s="402"/>
      <c r="Z47" s="403"/>
      <c r="AA47" s="403"/>
      <c r="AB47" s="403"/>
      <c r="AC47" s="403"/>
      <c r="AD47" s="404"/>
      <c r="AE47" s="402"/>
      <c r="AF47" s="403"/>
      <c r="AG47" s="403"/>
      <c r="AH47" s="403"/>
      <c r="AI47" s="403"/>
      <c r="AJ47" s="404"/>
      <c r="AK47" s="402"/>
      <c r="AL47" s="403"/>
      <c r="AM47" s="403"/>
      <c r="AN47" s="403"/>
      <c r="AO47" s="403"/>
      <c r="AP47" s="404"/>
      <c r="AQ47" s="402"/>
      <c r="AR47" s="403"/>
      <c r="AS47" s="403"/>
      <c r="AT47" s="403"/>
      <c r="AU47" s="403"/>
      <c r="AV47" s="404"/>
      <c r="AW47" s="402"/>
      <c r="AX47" s="403"/>
      <c r="AY47" s="403"/>
      <c r="AZ47" s="403"/>
      <c r="BA47" s="403"/>
      <c r="BB47" s="404"/>
      <c r="BC47" s="402"/>
      <c r="BD47" s="403"/>
      <c r="BE47" s="403"/>
      <c r="BF47" s="403"/>
      <c r="BG47" s="403"/>
      <c r="BH47" s="404"/>
      <c r="BI47" s="402"/>
      <c r="BJ47" s="403"/>
      <c r="BK47" s="403"/>
      <c r="BL47" s="403"/>
      <c r="BM47" s="403"/>
      <c r="BN47" s="404"/>
      <c r="BO47" s="402"/>
      <c r="BP47" s="403"/>
      <c r="BQ47" s="403"/>
      <c r="BR47" s="403"/>
      <c r="BS47" s="403"/>
      <c r="BT47" s="404"/>
      <c r="BU47" s="402"/>
      <c r="BV47" s="403"/>
      <c r="BW47" s="403"/>
      <c r="BX47" s="403"/>
      <c r="BY47" s="403"/>
      <c r="BZ47" s="404"/>
      <c r="CA47" s="402"/>
      <c r="CB47" s="403"/>
      <c r="CC47" s="403"/>
      <c r="CD47" s="403"/>
      <c r="CE47" s="403"/>
      <c r="CF47" s="404"/>
      <c r="CG47" s="402"/>
      <c r="CH47" s="403"/>
      <c r="CI47" s="403"/>
      <c r="CJ47" s="403"/>
      <c r="CK47" s="403"/>
      <c r="CL47" s="404"/>
      <c r="CM47" s="402"/>
      <c r="CN47" s="403"/>
      <c r="CO47" s="403"/>
      <c r="CP47" s="403"/>
      <c r="CQ47" s="403"/>
      <c r="CR47" s="404"/>
      <c r="CS47" s="402"/>
      <c r="CT47" s="403"/>
      <c r="CU47" s="403"/>
      <c r="CV47" s="403"/>
      <c r="CW47" s="403"/>
      <c r="CX47" s="404"/>
      <c r="CY47" s="402"/>
      <c r="CZ47" s="403"/>
      <c r="DA47" s="403"/>
      <c r="DB47" s="403"/>
      <c r="DC47" s="403"/>
      <c r="DD47" s="404"/>
      <c r="DE47" s="402"/>
      <c r="DF47" s="403"/>
      <c r="DG47" s="403"/>
      <c r="DH47" s="403"/>
      <c r="DI47" s="403"/>
      <c r="DJ47" s="404"/>
      <c r="DK47" s="402"/>
      <c r="DL47" s="403"/>
      <c r="DM47" s="403"/>
      <c r="DN47" s="403"/>
      <c r="DO47" s="403"/>
      <c r="DP47" s="404"/>
      <c r="DQ47" s="402"/>
      <c r="DR47" s="403"/>
      <c r="DS47" s="403"/>
      <c r="DT47" s="403"/>
      <c r="DU47" s="403"/>
      <c r="DV47" s="404"/>
      <c r="DW47" s="402"/>
      <c r="DX47" s="403"/>
      <c r="DY47" s="403"/>
      <c r="DZ47" s="403"/>
      <c r="EA47" s="403"/>
      <c r="EB47" s="404"/>
      <c r="EC47" s="402"/>
      <c r="ED47" s="403"/>
      <c r="EE47" s="403"/>
      <c r="EF47" s="403"/>
      <c r="EG47" s="403"/>
      <c r="EH47" s="404"/>
      <c r="EI47" s="402"/>
      <c r="EJ47" s="403"/>
      <c r="EK47" s="403"/>
      <c r="EL47" s="403"/>
      <c r="EM47" s="403"/>
      <c r="EN47" s="404"/>
      <c r="EO47" s="402"/>
      <c r="EP47" s="403"/>
      <c r="EQ47" s="403"/>
      <c r="ER47" s="403"/>
      <c r="ES47" s="403"/>
      <c r="ET47" s="404"/>
      <c r="EU47" s="402"/>
      <c r="EV47" s="403"/>
      <c r="EW47" s="403"/>
      <c r="EX47" s="403"/>
      <c r="EY47" s="403"/>
      <c r="EZ47" s="404"/>
      <c r="FA47" s="402"/>
      <c r="FB47" s="403"/>
      <c r="FC47" s="403"/>
      <c r="FD47" s="403"/>
      <c r="FE47" s="403"/>
      <c r="FF47" s="404"/>
      <c r="FG47" s="402"/>
      <c r="FH47" s="403"/>
      <c r="FI47" s="403"/>
      <c r="FJ47" s="403"/>
      <c r="FK47" s="403"/>
      <c r="FL47" s="404"/>
      <c r="FM47" s="402"/>
      <c r="FN47" s="403"/>
      <c r="FO47" s="403"/>
      <c r="FP47" s="403"/>
      <c r="FQ47" s="403"/>
      <c r="FR47" s="404"/>
      <c r="FS47" s="402"/>
      <c r="FT47" s="403"/>
      <c r="FU47" s="403"/>
      <c r="FV47" s="403"/>
      <c r="FW47" s="403"/>
      <c r="FX47" s="404"/>
      <c r="FY47" s="402"/>
      <c r="FZ47" s="403"/>
      <c r="GA47" s="403"/>
      <c r="GB47" s="403"/>
      <c r="GC47" s="403"/>
      <c r="GD47" s="404"/>
      <c r="GE47" s="402"/>
      <c r="GF47" s="403"/>
      <c r="GG47" s="403"/>
      <c r="GH47" s="403"/>
      <c r="GI47" s="403"/>
      <c r="GJ47" s="404"/>
      <c r="GK47" s="402"/>
      <c r="GL47" s="403"/>
      <c r="GM47" s="403"/>
      <c r="GN47" s="403"/>
      <c r="GO47" s="403"/>
      <c r="GP47" s="404"/>
      <c r="GQ47" s="402"/>
      <c r="GR47" s="403"/>
      <c r="GS47" s="403"/>
      <c r="GT47" s="403"/>
      <c r="GU47" s="403"/>
      <c r="GV47" s="404"/>
      <c r="GW47" s="402"/>
      <c r="GX47" s="403"/>
      <c r="GY47" s="403"/>
      <c r="GZ47" s="403"/>
      <c r="HA47" s="403"/>
      <c r="HB47" s="404"/>
      <c r="HC47" s="402"/>
      <c r="HD47" s="403"/>
      <c r="HE47" s="403"/>
      <c r="HF47" s="403"/>
      <c r="HG47" s="403"/>
      <c r="HH47" s="404"/>
      <c r="HI47" s="402"/>
      <c r="HJ47" s="403"/>
      <c r="HK47" s="403"/>
      <c r="HL47" s="403"/>
      <c r="HM47" s="403"/>
      <c r="HN47" s="404"/>
      <c r="HO47" s="402"/>
      <c r="HP47" s="403"/>
      <c r="HQ47" s="403"/>
      <c r="HR47" s="403"/>
      <c r="HS47" s="403"/>
      <c r="HT47" s="404"/>
      <c r="HU47" s="402"/>
      <c r="HV47" s="403"/>
      <c r="HW47" s="403"/>
      <c r="HX47" s="403"/>
      <c r="HY47" s="403"/>
      <c r="HZ47" s="404"/>
      <c r="IA47" s="402"/>
      <c r="IB47" s="403"/>
      <c r="IC47" s="403"/>
      <c r="ID47" s="403"/>
      <c r="IE47" s="403"/>
      <c r="IF47" s="404"/>
      <c r="IG47" s="402"/>
      <c r="IH47" s="403"/>
      <c r="II47" s="403"/>
      <c r="IJ47" s="403"/>
      <c r="IK47" s="403"/>
      <c r="IL47" s="404"/>
      <c r="IM47" s="402"/>
      <c r="IN47" s="403"/>
      <c r="IO47" s="403"/>
      <c r="IP47" s="403"/>
      <c r="IQ47" s="403"/>
      <c r="IR47" s="404"/>
      <c r="IS47" s="402"/>
      <c r="IT47" s="403"/>
      <c r="IU47" s="403"/>
      <c r="IV47" s="403"/>
    </row>
    <row r="48" spans="1:256" s="6" customFormat="1" ht="15" x14ac:dyDescent="0.25">
      <c r="A48" s="51" t="s">
        <v>40</v>
      </c>
      <c r="B48" s="408" t="s">
        <v>41</v>
      </c>
      <c r="C48" s="408"/>
      <c r="D48" s="408"/>
      <c r="E48" s="408"/>
      <c r="F48" s="409"/>
    </row>
    <row r="49" spans="1:6" s="6" customFormat="1" ht="15" x14ac:dyDescent="0.25">
      <c r="A49" s="23"/>
      <c r="B49" s="408"/>
      <c r="C49" s="408"/>
      <c r="D49" s="408"/>
      <c r="E49" s="408"/>
      <c r="F49" s="409"/>
    </row>
    <row r="50" spans="1:6" s="6" customFormat="1" ht="15" x14ac:dyDescent="0.25">
      <c r="A50" s="51" t="s">
        <v>42</v>
      </c>
      <c r="B50" s="408" t="s">
        <v>43</v>
      </c>
      <c r="C50" s="408"/>
      <c r="D50" s="408"/>
      <c r="E50" s="408"/>
      <c r="F50" s="409"/>
    </row>
    <row r="51" spans="1:6" s="6" customFormat="1" ht="15" x14ac:dyDescent="0.25">
      <c r="A51" s="23"/>
      <c r="B51" s="408"/>
      <c r="C51" s="408"/>
      <c r="D51" s="408"/>
      <c r="E51" s="408"/>
      <c r="F51" s="409"/>
    </row>
    <row r="52" spans="1:6" s="6" customFormat="1" ht="15" x14ac:dyDescent="0.25">
      <c r="A52" s="51" t="s">
        <v>44</v>
      </c>
      <c r="B52" s="408" t="s">
        <v>45</v>
      </c>
      <c r="C52" s="408"/>
      <c r="D52" s="408"/>
      <c r="E52" s="408"/>
      <c r="F52" s="409"/>
    </row>
    <row r="53" spans="1:6" s="6" customFormat="1" ht="15" x14ac:dyDescent="0.25">
      <c r="A53" s="23"/>
      <c r="B53" s="408"/>
      <c r="C53" s="408"/>
      <c r="D53" s="408"/>
      <c r="E53" s="408"/>
      <c r="F53" s="409"/>
    </row>
    <row r="54" spans="1:6" s="6" customFormat="1" ht="15" x14ac:dyDescent="0.25">
      <c r="A54" s="402"/>
      <c r="B54" s="403"/>
      <c r="C54" s="403"/>
      <c r="D54" s="403"/>
      <c r="E54" s="403"/>
      <c r="F54" s="404"/>
    </row>
    <row r="55" spans="1:6" s="6" customFormat="1" ht="15" x14ac:dyDescent="0.25">
      <c r="A55" s="231" t="s">
        <v>46</v>
      </c>
      <c r="B55" s="405" t="s">
        <v>47</v>
      </c>
      <c r="C55" s="406"/>
      <c r="D55" s="406"/>
      <c r="E55" s="406"/>
      <c r="F55" s="407"/>
    </row>
    <row r="56" spans="1:6" s="6" customFormat="1" ht="15" x14ac:dyDescent="0.25">
      <c r="A56" s="23"/>
      <c r="B56" s="405" t="s">
        <v>48</v>
      </c>
      <c r="C56" s="406"/>
      <c r="D56" s="406"/>
      <c r="E56" s="406"/>
      <c r="F56" s="407"/>
    </row>
    <row r="57" spans="1:6" s="6" customFormat="1" ht="15" x14ac:dyDescent="0.25">
      <c r="A57" s="402"/>
      <c r="B57" s="403"/>
      <c r="C57" s="403"/>
      <c r="D57" s="403"/>
      <c r="E57" s="403"/>
      <c r="F57" s="404"/>
    </row>
    <row r="58" spans="1:6" s="6" customFormat="1" ht="15" x14ac:dyDescent="0.25">
      <c r="A58" s="51" t="s">
        <v>49</v>
      </c>
      <c r="B58" s="405" t="s">
        <v>50</v>
      </c>
      <c r="C58" s="406"/>
      <c r="D58" s="406"/>
      <c r="E58" s="406"/>
      <c r="F58" s="407"/>
    </row>
    <row r="59" spans="1:6" s="6" customFormat="1" ht="15" x14ac:dyDescent="0.25">
      <c r="A59" s="430"/>
      <c r="B59" s="431"/>
      <c r="C59" s="431"/>
      <c r="D59" s="431"/>
      <c r="E59" s="431"/>
      <c r="F59" s="432"/>
    </row>
    <row r="60" spans="1:6" s="6" customFormat="1" ht="15" x14ac:dyDescent="0.25">
      <c r="A60" s="410" t="s">
        <v>51</v>
      </c>
      <c r="B60" s="411"/>
      <c r="C60" s="411"/>
      <c r="D60" s="411"/>
      <c r="E60" s="411"/>
      <c r="F60" s="337"/>
    </row>
    <row r="61" spans="1:6" s="6" customFormat="1" ht="15" x14ac:dyDescent="0.25">
      <c r="A61" s="402"/>
      <c r="B61" s="403"/>
      <c r="C61" s="403"/>
      <c r="D61" s="403"/>
      <c r="E61" s="403"/>
      <c r="F61" s="404"/>
    </row>
    <row r="62" spans="1:6" s="6" customFormat="1" ht="15" x14ac:dyDescent="0.25">
      <c r="A62" s="231" t="s">
        <v>52</v>
      </c>
      <c r="B62" s="405" t="s">
        <v>53</v>
      </c>
      <c r="C62" s="406"/>
      <c r="D62" s="406"/>
      <c r="E62" s="406"/>
      <c r="F62" s="407"/>
    </row>
    <row r="63" spans="1:6" s="6" customFormat="1" ht="15" x14ac:dyDescent="0.25">
      <c r="A63" s="402"/>
      <c r="B63" s="403"/>
      <c r="C63" s="403"/>
      <c r="D63" s="403"/>
      <c r="E63" s="403"/>
      <c r="F63" s="404"/>
    </row>
    <row r="64" spans="1:6" s="6" customFormat="1" ht="15" x14ac:dyDescent="0.25">
      <c r="A64" s="231" t="s">
        <v>54</v>
      </c>
      <c r="B64" s="414" t="s">
        <v>55</v>
      </c>
      <c r="C64" s="406"/>
      <c r="D64" s="406"/>
      <c r="E64" s="406"/>
      <c r="F64" s="407"/>
    </row>
    <row r="65" spans="1:6" s="6" customFormat="1" ht="15" x14ac:dyDescent="0.25">
      <c r="A65" s="23"/>
      <c r="B65" s="412" t="s">
        <v>56</v>
      </c>
      <c r="C65" s="412"/>
      <c r="D65" s="412"/>
      <c r="E65" s="412"/>
      <c r="F65" s="413"/>
    </row>
    <row r="66" spans="1:6" s="6" customFormat="1" ht="15" x14ac:dyDescent="0.25">
      <c r="A66" s="23"/>
      <c r="B66" s="412" t="s">
        <v>57</v>
      </c>
      <c r="C66" s="412"/>
      <c r="D66" s="412"/>
      <c r="E66" s="412"/>
      <c r="F66" s="413"/>
    </row>
    <row r="67" spans="1:6" s="6" customFormat="1" ht="15" x14ac:dyDescent="0.25">
      <c r="A67" s="23"/>
      <c r="B67" s="412" t="s">
        <v>58</v>
      </c>
      <c r="C67" s="412"/>
      <c r="D67" s="412"/>
      <c r="E67" s="412"/>
      <c r="F67" s="413"/>
    </row>
    <row r="68" spans="1:6" s="6" customFormat="1" ht="15" x14ac:dyDescent="0.25">
      <c r="A68" s="402"/>
      <c r="B68" s="403"/>
      <c r="C68" s="403"/>
      <c r="D68" s="403"/>
      <c r="E68" s="403"/>
      <c r="F68" s="404"/>
    </row>
    <row r="69" spans="1:6" s="6" customFormat="1" ht="15" x14ac:dyDescent="0.25">
      <c r="A69" s="51" t="s">
        <v>59</v>
      </c>
      <c r="B69" s="406" t="s">
        <v>60</v>
      </c>
      <c r="C69" s="406"/>
      <c r="D69" s="406"/>
      <c r="E69" s="406"/>
      <c r="F69" s="407"/>
    </row>
    <row r="70" spans="1:6" s="6" customFormat="1" ht="15" x14ac:dyDescent="0.25">
      <c r="A70" s="436"/>
      <c r="B70" s="437"/>
      <c r="C70" s="437"/>
      <c r="D70" s="437"/>
      <c r="E70" s="437"/>
      <c r="F70" s="438"/>
    </row>
    <row r="71" spans="1:6" s="6" customFormat="1" ht="15" x14ac:dyDescent="0.25">
      <c r="A71" s="51" t="s">
        <v>61</v>
      </c>
      <c r="B71" s="406" t="s">
        <v>62</v>
      </c>
      <c r="C71" s="406"/>
      <c r="D71" s="406"/>
      <c r="E71" s="406"/>
      <c r="F71" s="407"/>
    </row>
    <row r="72" spans="1:6" s="6" customFormat="1" ht="15" x14ac:dyDescent="0.25">
      <c r="A72" s="436"/>
      <c r="B72" s="437"/>
      <c r="C72" s="437"/>
      <c r="D72" s="437"/>
      <c r="E72" s="437"/>
      <c r="F72" s="438"/>
    </row>
    <row r="73" spans="1:6" s="6" customFormat="1" ht="15" x14ac:dyDescent="0.25">
      <c r="A73" s="51" t="s">
        <v>63</v>
      </c>
      <c r="B73" s="406" t="s">
        <v>64</v>
      </c>
      <c r="C73" s="406"/>
      <c r="D73" s="406"/>
      <c r="E73" s="406"/>
      <c r="F73" s="407"/>
    </row>
    <row r="74" spans="1:6" s="6" customFormat="1" ht="15" x14ac:dyDescent="0.25">
      <c r="A74" s="436"/>
      <c r="B74" s="437"/>
      <c r="C74" s="437"/>
      <c r="D74" s="437"/>
      <c r="E74" s="437"/>
      <c r="F74" s="438"/>
    </row>
    <row r="75" spans="1:6" s="6" customFormat="1" ht="15" x14ac:dyDescent="0.25">
      <c r="A75" s="51" t="s">
        <v>65</v>
      </c>
      <c r="B75" s="406" t="s">
        <v>66</v>
      </c>
      <c r="C75" s="406"/>
      <c r="D75" s="406"/>
      <c r="E75" s="406"/>
      <c r="F75" s="407"/>
    </row>
    <row r="76" spans="1:6" s="6" customFormat="1" ht="15" x14ac:dyDescent="0.25">
      <c r="A76" s="436"/>
      <c r="B76" s="437"/>
      <c r="C76" s="437"/>
      <c r="D76" s="437"/>
      <c r="E76" s="437"/>
      <c r="F76" s="438"/>
    </row>
    <row r="77" spans="1:6" s="6" customFormat="1" ht="15" x14ac:dyDescent="0.25">
      <c r="A77" s="51" t="s">
        <v>67</v>
      </c>
      <c r="B77" s="406" t="s">
        <v>68</v>
      </c>
      <c r="C77" s="406"/>
      <c r="D77" s="406"/>
      <c r="E77" s="406"/>
      <c r="F77" s="407"/>
    </row>
    <row r="78" spans="1:6" s="6" customFormat="1" ht="15" x14ac:dyDescent="0.25">
      <c r="A78" s="402"/>
      <c r="B78" s="403"/>
      <c r="C78" s="403"/>
      <c r="D78" s="403"/>
      <c r="E78" s="403"/>
      <c r="F78" s="404"/>
    </row>
    <row r="79" spans="1:6" s="6" customFormat="1" ht="15" x14ac:dyDescent="0.25">
      <c r="A79" s="410" t="s">
        <v>26</v>
      </c>
      <c r="B79" s="411"/>
      <c r="C79" s="411"/>
      <c r="D79" s="411"/>
      <c r="E79" s="411"/>
      <c r="F79" s="337"/>
    </row>
    <row r="80" spans="1:6" s="6" customFormat="1" ht="15" x14ac:dyDescent="0.25">
      <c r="A80" s="402"/>
      <c r="B80" s="403"/>
      <c r="C80" s="403"/>
      <c r="D80" s="403"/>
      <c r="E80" s="403"/>
      <c r="F80" s="404"/>
    </row>
    <row r="81" spans="1:6" s="6" customFormat="1" ht="15" x14ac:dyDescent="0.25">
      <c r="A81" s="51" t="s">
        <v>69</v>
      </c>
      <c r="B81" s="406" t="s">
        <v>70</v>
      </c>
      <c r="C81" s="406"/>
      <c r="D81" s="406"/>
      <c r="E81" s="406"/>
      <c r="F81" s="407"/>
    </row>
    <row r="82" spans="1:6" s="6" customFormat="1" ht="15" x14ac:dyDescent="0.25">
      <c r="A82" s="234"/>
      <c r="B82" s="406"/>
      <c r="C82" s="406"/>
      <c r="D82" s="406"/>
      <c r="E82" s="406"/>
      <c r="F82" s="407"/>
    </row>
    <row r="83" spans="1:6" s="6" customFormat="1" ht="15" x14ac:dyDescent="0.25">
      <c r="A83" s="51" t="s">
        <v>71</v>
      </c>
      <c r="B83" s="417" t="s">
        <v>72</v>
      </c>
      <c r="C83" s="405"/>
      <c r="D83" s="405"/>
      <c r="E83" s="405"/>
      <c r="F83" s="418"/>
    </row>
    <row r="84" spans="1:6" s="6" customFormat="1" ht="15" x14ac:dyDescent="0.25">
      <c r="A84" s="402"/>
      <c r="B84" s="403"/>
      <c r="C84" s="403"/>
      <c r="D84" s="403"/>
      <c r="E84" s="403"/>
      <c r="F84" s="404"/>
    </row>
    <row r="85" spans="1:6" s="6" customFormat="1" ht="15" x14ac:dyDescent="0.25">
      <c r="A85" s="51" t="s">
        <v>73</v>
      </c>
      <c r="B85" s="414" t="s">
        <v>74</v>
      </c>
      <c r="C85" s="406"/>
      <c r="D85" s="406"/>
      <c r="E85" s="406"/>
      <c r="F85" s="407"/>
    </row>
    <row r="86" spans="1:6" s="6" customFormat="1" ht="15" x14ac:dyDescent="0.25">
      <c r="A86" s="402"/>
      <c r="B86" s="403"/>
      <c r="C86" s="403"/>
      <c r="D86" s="403"/>
      <c r="E86" s="403"/>
      <c r="F86" s="404"/>
    </row>
    <row r="87" spans="1:6" s="6" customFormat="1" ht="15" x14ac:dyDescent="0.25">
      <c r="A87" s="51" t="s">
        <v>75</v>
      </c>
      <c r="B87" s="417" t="s">
        <v>76</v>
      </c>
      <c r="C87" s="405"/>
      <c r="D87" s="405"/>
      <c r="E87" s="405"/>
      <c r="F87" s="418"/>
    </row>
    <row r="88" spans="1:6" s="6" customFormat="1" ht="15" x14ac:dyDescent="0.25">
      <c r="A88" s="402"/>
      <c r="B88" s="403"/>
      <c r="C88" s="403"/>
      <c r="D88" s="403"/>
      <c r="E88" s="403"/>
      <c r="F88" s="404"/>
    </row>
    <row r="89" spans="1:6" s="6" customFormat="1" ht="15" x14ac:dyDescent="0.25">
      <c r="A89" s="51" t="s">
        <v>77</v>
      </c>
      <c r="B89" s="405" t="s">
        <v>78</v>
      </c>
      <c r="C89" s="406"/>
      <c r="D89" s="406"/>
      <c r="E89" s="406"/>
      <c r="F89" s="407"/>
    </row>
    <row r="90" spans="1:6" s="6" customFormat="1" ht="15" x14ac:dyDescent="0.25">
      <c r="A90" s="402"/>
      <c r="B90" s="403"/>
      <c r="C90" s="403"/>
      <c r="D90" s="403"/>
      <c r="E90" s="403"/>
      <c r="F90" s="404"/>
    </row>
    <row r="91" spans="1:6" s="6" customFormat="1" ht="15" x14ac:dyDescent="0.25">
      <c r="A91" s="51" t="s">
        <v>79</v>
      </c>
      <c r="B91" s="405" t="s">
        <v>80</v>
      </c>
      <c r="C91" s="406"/>
      <c r="D91" s="406"/>
      <c r="E91" s="406"/>
      <c r="F91" s="407"/>
    </row>
    <row r="92" spans="1:6" s="6" customFormat="1" ht="15" x14ac:dyDescent="0.25">
      <c r="A92" s="52"/>
      <c r="B92" s="443" t="s">
        <v>81</v>
      </c>
      <c r="C92" s="443"/>
      <c r="D92" s="443"/>
      <c r="E92" s="443"/>
      <c r="F92" s="444"/>
    </row>
    <row r="93" spans="1:6" s="6" customFormat="1" ht="15" x14ac:dyDescent="0.25">
      <c r="A93" s="42"/>
      <c r="B93" s="443" t="s">
        <v>82</v>
      </c>
      <c r="C93" s="443"/>
      <c r="D93" s="443"/>
      <c r="E93" s="443"/>
      <c r="F93" s="444"/>
    </row>
    <row r="94" spans="1:6" s="6" customFormat="1" ht="15" x14ac:dyDescent="0.25">
      <c r="A94" s="52"/>
      <c r="B94" s="443" t="s">
        <v>83</v>
      </c>
      <c r="C94" s="443"/>
      <c r="D94" s="443"/>
      <c r="E94" s="443"/>
      <c r="F94" s="444"/>
    </row>
    <row r="95" spans="1:6" s="6" customFormat="1" ht="15" x14ac:dyDescent="0.25">
      <c r="A95" s="402"/>
      <c r="B95" s="403"/>
      <c r="C95" s="403"/>
      <c r="D95" s="403"/>
      <c r="E95" s="403"/>
      <c r="F95" s="404"/>
    </row>
    <row r="96" spans="1:6" s="6" customFormat="1" ht="15" x14ac:dyDescent="0.25">
      <c r="A96" s="44" t="s">
        <v>84</v>
      </c>
      <c r="B96" s="406" t="s">
        <v>85</v>
      </c>
      <c r="C96" s="406"/>
      <c r="D96" s="406"/>
      <c r="E96" s="406"/>
      <c r="F96" s="407"/>
    </row>
    <row r="97" spans="1:6" s="6" customFormat="1" ht="15" x14ac:dyDescent="0.25">
      <c r="A97" s="402"/>
      <c r="B97" s="403"/>
      <c r="C97" s="403"/>
      <c r="D97" s="403"/>
      <c r="E97" s="403"/>
      <c r="F97" s="404"/>
    </row>
    <row r="98" spans="1:6" s="6" customFormat="1" ht="15" x14ac:dyDescent="0.25">
      <c r="A98" s="51" t="s">
        <v>86</v>
      </c>
      <c r="B98" s="405" t="s">
        <v>87</v>
      </c>
      <c r="C98" s="327"/>
      <c r="D98" s="327"/>
      <c r="E98" s="327"/>
      <c r="F98" s="442"/>
    </row>
    <row r="99" spans="1:6" s="6" customFormat="1" ht="15" x14ac:dyDescent="0.25">
      <c r="A99" s="234"/>
      <c r="B99" s="406" t="s">
        <v>88</v>
      </c>
      <c r="C99" s="405"/>
      <c r="D99" s="405"/>
      <c r="E99" s="405"/>
      <c r="F99" s="418"/>
    </row>
    <row r="100" spans="1:6" s="6" customFormat="1" ht="15" x14ac:dyDescent="0.25">
      <c r="A100" s="234"/>
      <c r="B100" s="406" t="s">
        <v>89</v>
      </c>
      <c r="C100" s="405"/>
      <c r="D100" s="405"/>
      <c r="E100" s="405"/>
      <c r="F100" s="418"/>
    </row>
    <row r="101" spans="1:6" s="6" customFormat="1" ht="15" x14ac:dyDescent="0.25">
      <c r="A101" s="234"/>
      <c r="B101" s="406" t="s">
        <v>90</v>
      </c>
      <c r="C101" s="405"/>
      <c r="D101" s="405"/>
      <c r="E101" s="405"/>
      <c r="F101" s="418"/>
    </row>
    <row r="102" spans="1:6" s="6" customFormat="1" ht="15" x14ac:dyDescent="0.25">
      <c r="A102" s="234"/>
      <c r="B102" s="327" t="s">
        <v>91</v>
      </c>
      <c r="C102" s="327"/>
      <c r="D102" s="327"/>
      <c r="E102" s="327"/>
      <c r="F102" s="442"/>
    </row>
    <row r="103" spans="1:6" s="6" customFormat="1" ht="15" x14ac:dyDescent="0.25">
      <c r="A103" s="234"/>
      <c r="B103" s="405" t="s">
        <v>92</v>
      </c>
      <c r="C103" s="327"/>
      <c r="D103" s="327"/>
      <c r="E103" s="327"/>
      <c r="F103" s="442"/>
    </row>
    <row r="104" spans="1:6" s="6" customFormat="1" ht="15" x14ac:dyDescent="0.25">
      <c r="A104" s="23"/>
      <c r="B104" s="405" t="s">
        <v>93</v>
      </c>
      <c r="C104" s="327"/>
      <c r="D104" s="327"/>
      <c r="E104" s="327"/>
      <c r="F104" s="442"/>
    </row>
    <row r="105" spans="1:6" s="6" customFormat="1" ht="15" x14ac:dyDescent="0.25">
      <c r="A105" s="23"/>
      <c r="B105" s="405" t="s">
        <v>94</v>
      </c>
      <c r="C105" s="327"/>
      <c r="D105" s="327"/>
      <c r="E105" s="327"/>
      <c r="F105" s="442"/>
    </row>
    <row r="106" spans="1:6" s="6" customFormat="1" ht="15" x14ac:dyDescent="0.25">
      <c r="A106" s="439"/>
      <c r="B106" s="440"/>
      <c r="C106" s="440"/>
      <c r="D106" s="440"/>
      <c r="E106" s="440"/>
      <c r="F106" s="441"/>
    </row>
  </sheetData>
  <mergeCells count="143">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2"/>
  <sheetViews>
    <sheetView showGridLines="0" tabSelected="1" zoomScale="80" zoomScaleNormal="80" workbookViewId="0">
      <selection activeCell="B4" sqref="B4:F4"/>
    </sheetView>
  </sheetViews>
  <sheetFormatPr defaultColWidth="0" defaultRowHeight="13.2" zeroHeight="1" x14ac:dyDescent="0.25"/>
  <cols>
    <col min="1" max="1" width="28.6640625" style="4" customWidth="1"/>
    <col min="2" max="3" width="15.44140625" style="4" customWidth="1"/>
    <col min="4" max="4" width="21.88671875" style="4" customWidth="1"/>
    <col min="5" max="5" width="19.33203125" style="4" customWidth="1"/>
    <col min="6" max="6" width="19.44140625" style="4" customWidth="1"/>
    <col min="7" max="9" width="18.5546875" style="4" customWidth="1"/>
    <col min="10" max="10" width="21.109375" style="4" customWidth="1"/>
    <col min="11" max="11" width="0.88671875" style="4" customWidth="1"/>
    <col min="12" max="16384" width="9.109375" style="4" hidden="1"/>
  </cols>
  <sheetData>
    <row r="1" spans="1:10" ht="30" customHeight="1" x14ac:dyDescent="0.25">
      <c r="A1" s="356"/>
      <c r="B1" s="75"/>
      <c r="C1" s="348" t="s">
        <v>95</v>
      </c>
      <c r="D1" s="348"/>
      <c r="E1" s="348"/>
      <c r="F1" s="348"/>
      <c r="G1" s="348"/>
      <c r="H1" s="348"/>
      <c r="I1" s="353"/>
      <c r="J1" s="343" t="s">
        <v>96</v>
      </c>
    </row>
    <row r="2" spans="1:10" ht="30" customHeight="1" x14ac:dyDescent="0.25">
      <c r="A2" s="357"/>
      <c r="B2" s="76"/>
      <c r="C2" s="349" t="s">
        <v>97</v>
      </c>
      <c r="D2" s="349"/>
      <c r="E2" s="349"/>
      <c r="F2" s="349"/>
      <c r="G2" s="349"/>
      <c r="H2" s="349"/>
      <c r="I2" s="354"/>
      <c r="J2" s="344"/>
    </row>
    <row r="3" spans="1:10" ht="3.9" customHeight="1" x14ac:dyDescent="0.25">
      <c r="A3" s="355"/>
      <c r="B3" s="346"/>
      <c r="C3" s="346"/>
      <c r="D3" s="346"/>
      <c r="E3" s="346"/>
      <c r="F3" s="346"/>
      <c r="G3" s="346"/>
      <c r="H3" s="346"/>
      <c r="I3" s="347"/>
    </row>
    <row r="4" spans="1:10" x14ac:dyDescent="0.25">
      <c r="A4" s="72" t="s">
        <v>13</v>
      </c>
      <c r="B4" s="350"/>
      <c r="C4" s="351"/>
      <c r="D4" s="351"/>
      <c r="E4" s="351"/>
      <c r="F4" s="352"/>
      <c r="G4" s="91"/>
      <c r="H4" s="91"/>
      <c r="I4" s="235">
        <f ca="1">NOW()</f>
        <v>46183.658925462965</v>
      </c>
      <c r="J4" s="236"/>
    </row>
    <row r="5" spans="1:10" ht="3.9" customHeight="1" x14ac:dyDescent="0.25">
      <c r="A5" s="345"/>
      <c r="B5" s="346"/>
      <c r="C5" s="346"/>
      <c r="D5" s="346"/>
      <c r="E5" s="346"/>
      <c r="F5" s="346"/>
      <c r="G5" s="346"/>
      <c r="H5" s="346"/>
      <c r="I5" s="347"/>
    </row>
    <row r="6" spans="1:10" x14ac:dyDescent="0.25">
      <c r="A6" s="72" t="s">
        <v>15</v>
      </c>
      <c r="B6" s="360"/>
      <c r="C6" s="360"/>
      <c r="D6" s="125"/>
      <c r="E6" s="160"/>
      <c r="F6" s="121"/>
      <c r="G6" s="126"/>
      <c r="H6" s="126"/>
      <c r="I6" s="237"/>
      <c r="J6" s="236"/>
    </row>
    <row r="7" spans="1:10" x14ac:dyDescent="0.25">
      <c r="A7" s="72" t="s">
        <v>98</v>
      </c>
      <c r="B7" s="183"/>
      <c r="C7" s="184"/>
      <c r="D7" s="184" t="s">
        <v>99</v>
      </c>
      <c r="E7" s="196" t="s">
        <v>100</v>
      </c>
      <c r="F7" s="119"/>
      <c r="G7" s="91"/>
      <c r="H7" s="91"/>
      <c r="I7" s="235"/>
      <c r="J7" s="236"/>
    </row>
    <row r="8" spans="1:10" x14ac:dyDescent="0.25">
      <c r="A8" s="72" t="s">
        <v>17</v>
      </c>
      <c r="B8" s="358"/>
      <c r="C8" s="359"/>
      <c r="D8" s="185"/>
      <c r="E8" s="197"/>
      <c r="F8" s="119"/>
      <c r="G8" s="119"/>
      <c r="H8" s="119"/>
      <c r="I8" s="120"/>
    </row>
    <row r="9" spans="1:10" ht="12.9" customHeight="1" x14ac:dyDescent="0.25">
      <c r="A9" s="72" t="s">
        <v>19</v>
      </c>
      <c r="B9" s="358"/>
      <c r="C9" s="359"/>
      <c r="D9" s="185"/>
      <c r="E9" s="197"/>
      <c r="F9" s="161"/>
      <c r="G9" s="328" t="s">
        <v>101</v>
      </c>
      <c r="H9" s="328"/>
      <c r="I9" s="329"/>
    </row>
    <row r="10" spans="1:10" ht="12.9" customHeight="1" x14ac:dyDescent="0.25">
      <c r="A10" s="46" t="s">
        <v>102</v>
      </c>
      <c r="B10" s="358"/>
      <c r="C10" s="359"/>
      <c r="D10" s="185"/>
      <c r="E10" s="197"/>
      <c r="F10" s="161"/>
      <c r="G10" s="140"/>
      <c r="H10" s="140"/>
      <c r="I10" s="127"/>
    </row>
    <row r="11" spans="1:10" ht="12.9" customHeight="1" x14ac:dyDescent="0.25">
      <c r="A11" s="72" t="s">
        <v>103</v>
      </c>
      <c r="B11" s="361">
        <f>SUM(B8:C10)</f>
        <v>0</v>
      </c>
      <c r="C11" s="362"/>
      <c r="D11" s="186">
        <f>SUM(D8:D10)</f>
        <v>0</v>
      </c>
      <c r="E11" s="189">
        <f>SUM(E8:F10)</f>
        <v>0</v>
      </c>
      <c r="F11" s="161"/>
      <c r="G11" s="328" t="s">
        <v>104</v>
      </c>
      <c r="H11" s="328"/>
      <c r="I11" s="329"/>
    </row>
    <row r="12" spans="1:10" x14ac:dyDescent="0.25">
      <c r="A12" s="72" t="s">
        <v>105</v>
      </c>
      <c r="B12" s="370"/>
      <c r="C12" s="371"/>
      <c r="D12" s="187"/>
      <c r="E12" s="198"/>
      <c r="F12" s="119"/>
      <c r="G12" s="119"/>
      <c r="H12" s="119"/>
      <c r="I12" s="120"/>
    </row>
    <row r="13" spans="1:10" x14ac:dyDescent="0.25">
      <c r="A13" s="72" t="s">
        <v>106</v>
      </c>
      <c r="B13" s="376"/>
      <c r="C13" s="377"/>
      <c r="D13" s="190"/>
      <c r="E13" s="199"/>
      <c r="F13" s="119"/>
      <c r="G13" s="119"/>
      <c r="H13" s="119"/>
      <c r="I13" s="120"/>
    </row>
    <row r="14" spans="1:10" x14ac:dyDescent="0.25">
      <c r="A14" s="46" t="s">
        <v>23</v>
      </c>
      <c r="B14" s="374"/>
      <c r="C14" s="375"/>
      <c r="D14" s="188">
        <v>360</v>
      </c>
      <c r="E14" s="200">
        <v>360</v>
      </c>
      <c r="F14" s="119"/>
      <c r="G14" s="119"/>
      <c r="H14" s="119"/>
      <c r="I14" s="120"/>
    </row>
    <row r="15" spans="1:10" x14ac:dyDescent="0.25">
      <c r="A15" s="72" t="s">
        <v>107</v>
      </c>
      <c r="B15" s="372">
        <f>B14/12</f>
        <v>0</v>
      </c>
      <c r="C15" s="373"/>
      <c r="D15" s="201">
        <f>D14/12</f>
        <v>30</v>
      </c>
      <c r="E15" s="202">
        <f>E14/12</f>
        <v>30</v>
      </c>
      <c r="F15" s="119"/>
      <c r="G15" s="119"/>
      <c r="H15" s="119"/>
      <c r="I15" s="120"/>
      <c r="J15" s="78"/>
    </row>
    <row r="16" spans="1:10" x14ac:dyDescent="0.25">
      <c r="A16" s="72" t="s">
        <v>108</v>
      </c>
      <c r="B16" s="361">
        <f>CalculationsReference!C11</f>
        <v>0</v>
      </c>
      <c r="C16" s="362"/>
      <c r="D16" s="189">
        <f>CalculationsReference!C18</f>
        <v>0</v>
      </c>
      <c r="E16" s="189">
        <f>CalculationsReference!C25</f>
        <v>0</v>
      </c>
      <c r="F16" s="122"/>
      <c r="G16" s="122"/>
      <c r="H16" s="122"/>
      <c r="I16" s="123"/>
      <c r="J16" s="78"/>
    </row>
    <row r="17" spans="1:11" ht="3.9" customHeight="1" x14ac:dyDescent="0.25">
      <c r="A17" s="327"/>
      <c r="B17" s="327"/>
      <c r="C17" s="327"/>
      <c r="D17" s="327"/>
      <c r="E17" s="327"/>
      <c r="F17" s="327"/>
      <c r="G17" s="327"/>
      <c r="H17" s="327"/>
      <c r="I17" s="327"/>
      <c r="J17" s="30"/>
    </row>
    <row r="18" spans="1:11" x14ac:dyDescent="0.25">
      <c r="A18" s="324" t="s">
        <v>109</v>
      </c>
      <c r="B18" s="325"/>
      <c r="C18" s="325"/>
      <c r="D18" s="325"/>
      <c r="E18" s="325"/>
      <c r="F18" s="325"/>
      <c r="G18" s="325"/>
      <c r="H18" s="325"/>
      <c r="I18" s="326"/>
      <c r="J18" s="79"/>
    </row>
    <row r="19" spans="1:11" x14ac:dyDescent="0.25">
      <c r="A19" s="215" t="s">
        <v>110</v>
      </c>
      <c r="B19" s="216"/>
      <c r="C19" s="216"/>
      <c r="D19" s="216"/>
      <c r="E19" s="85" t="s">
        <v>111</v>
      </c>
      <c r="F19" s="217" t="s">
        <v>112</v>
      </c>
      <c r="G19" s="73" t="s">
        <v>113</v>
      </c>
      <c r="H19" s="336" t="s">
        <v>114</v>
      </c>
      <c r="I19" s="337"/>
      <c r="J19" s="71"/>
    </row>
    <row r="20" spans="1:11" ht="12.9" customHeight="1" x14ac:dyDescent="0.25">
      <c r="A20" s="238" t="s">
        <v>115</v>
      </c>
      <c r="B20" s="239"/>
      <c r="C20" s="239"/>
      <c r="D20" s="239"/>
      <c r="E20" s="218"/>
      <c r="F20" s="220"/>
      <c r="G20" s="32"/>
      <c r="H20" s="240" t="e">
        <f>-PMT((F20+3%)/12,E20,Other_Loans_OO_Amount)</f>
        <v>#NUM!</v>
      </c>
      <c r="I20" s="342" t="str">
        <f>+"Credit Card payments are based on"</f>
        <v>Credit Card payments are based on</v>
      </c>
      <c r="J20" s="78"/>
    </row>
    <row r="21" spans="1:11" ht="12.9" customHeight="1" x14ac:dyDescent="0.25">
      <c r="A21" s="241" t="s">
        <v>116</v>
      </c>
      <c r="B21" s="242"/>
      <c r="C21" s="242"/>
      <c r="D21" s="242"/>
      <c r="E21" s="218"/>
      <c r="F21" s="220"/>
      <c r="G21" s="32"/>
      <c r="H21" s="240"/>
      <c r="I21" s="341"/>
      <c r="J21" s="78"/>
    </row>
    <row r="22" spans="1:11" ht="12.75" customHeight="1" x14ac:dyDescent="0.25">
      <c r="A22" s="366" t="s">
        <v>40</v>
      </c>
      <c r="B22" s="367"/>
      <c r="C22" s="367"/>
      <c r="D22" s="367"/>
      <c r="E22" s="368"/>
      <c r="F22" s="369"/>
      <c r="G22" s="32"/>
      <c r="H22" s="243">
        <f>G22*Credit_Card_Monthly_Payment_Percent</f>
        <v>0</v>
      </c>
      <c r="I22" s="178" t="str">
        <f>+TEXT(Credit_Card_Monthly_Payment_Percent,"##0.0%")</f>
        <v>3.2%</v>
      </c>
      <c r="J22" s="78" t="s">
        <v>117</v>
      </c>
    </row>
    <row r="23" spans="1:11" hidden="1" x14ac:dyDescent="0.25">
      <c r="A23" s="340" t="s">
        <v>42</v>
      </c>
      <c r="B23" s="334"/>
      <c r="C23" s="334"/>
      <c r="D23" s="334"/>
      <c r="E23" s="334"/>
      <c r="F23" s="335"/>
      <c r="G23" s="32"/>
      <c r="H23" s="243">
        <f>G23*Credit_Card_Monthly_Payment_Percent_Amigo</f>
        <v>0</v>
      </c>
      <c r="I23" s="178" t="str">
        <f>+TEXT(Credit_Card_Monthly_Payment_Percent_Amigo,"##0.0%")</f>
        <v>3.5%</v>
      </c>
      <c r="J23" s="78" t="s">
        <v>118</v>
      </c>
    </row>
    <row r="24" spans="1:11" x14ac:dyDescent="0.25">
      <c r="A24" s="340" t="s">
        <v>44</v>
      </c>
      <c r="B24" s="334"/>
      <c r="C24" s="334"/>
      <c r="D24" s="334"/>
      <c r="E24" s="334"/>
      <c r="F24" s="335"/>
      <c r="G24" s="32"/>
      <c r="H24" s="243">
        <f>G24*Credit_Card_Monthly_Payment_Percent_OtherBanks</f>
        <v>0</v>
      </c>
      <c r="I24" s="178" t="str">
        <f>+TEXT(Credit_Card_Monthly_Payment_Percent_OtherBanks,"##0.00%")</f>
        <v>3.75%</v>
      </c>
      <c r="J24" s="78" t="s">
        <v>118</v>
      </c>
    </row>
    <row r="25" spans="1:11" x14ac:dyDescent="0.25">
      <c r="A25" s="130" t="s">
        <v>119</v>
      </c>
      <c r="B25" s="244"/>
      <c r="C25" s="244"/>
      <c r="D25" s="244"/>
      <c r="E25" s="226"/>
      <c r="F25" s="227"/>
      <c r="G25" s="32"/>
      <c r="H25" s="243">
        <f>G25*Secured_Credit_Monthly_Percent</f>
        <v>0</v>
      </c>
      <c r="I25" s="341" t="str">
        <f>+"of Credit Limit per month"</f>
        <v>of Credit Limit per month</v>
      </c>
      <c r="J25" s="78"/>
    </row>
    <row r="26" spans="1:11" x14ac:dyDescent="0.25">
      <c r="A26" s="214" t="s">
        <v>120</v>
      </c>
      <c r="B26" s="226"/>
      <c r="C26" s="226"/>
      <c r="D26" s="227"/>
      <c r="E26" s="338"/>
      <c r="F26" s="365"/>
      <c r="G26" s="32"/>
      <c r="H26" s="32"/>
      <c r="I26" s="341"/>
      <c r="J26" s="78"/>
    </row>
    <row r="27" spans="1:11" x14ac:dyDescent="0.25">
      <c r="A27" s="139" t="s">
        <v>121</v>
      </c>
      <c r="B27" s="226"/>
      <c r="C27" s="226"/>
      <c r="D27" s="227"/>
      <c r="E27" s="338"/>
      <c r="F27" s="339"/>
      <c r="G27" s="73"/>
      <c r="H27" s="32"/>
      <c r="I27" s="175"/>
      <c r="J27" s="78"/>
    </row>
    <row r="28" spans="1:11" x14ac:dyDescent="0.25">
      <c r="A28" s="221" t="s">
        <v>122</v>
      </c>
      <c r="B28" s="245"/>
      <c r="C28" s="245"/>
      <c r="D28" s="245"/>
      <c r="E28" s="245"/>
      <c r="F28" s="245"/>
      <c r="G28" s="32"/>
      <c r="H28" s="32">
        <f>G28*10%</f>
        <v>0</v>
      </c>
      <c r="I28" s="175"/>
      <c r="J28" s="78"/>
    </row>
    <row r="29" spans="1:11" x14ac:dyDescent="0.25">
      <c r="A29" s="332" t="s">
        <v>49</v>
      </c>
      <c r="B29" s="333"/>
      <c r="C29" s="333"/>
      <c r="D29" s="333"/>
      <c r="E29" s="334"/>
      <c r="F29" s="335"/>
      <c r="G29" s="243">
        <f>SUM(G20:G26)</f>
        <v>0</v>
      </c>
      <c r="H29" s="243" t="e">
        <f>SUM(H20:H28)</f>
        <v>#NUM!</v>
      </c>
      <c r="I29" s="176"/>
      <c r="J29" s="78"/>
    </row>
    <row r="30" spans="1:11" ht="3.9" customHeight="1" x14ac:dyDescent="0.25">
      <c r="A30" s="330"/>
      <c r="B30" s="330"/>
      <c r="C30" s="330"/>
      <c r="D30" s="330"/>
      <c r="E30" s="330"/>
      <c r="F30" s="330"/>
      <c r="G30" s="330"/>
      <c r="H30" s="330"/>
      <c r="I30" s="331"/>
      <c r="J30" s="30"/>
    </row>
    <row r="31" spans="1:11" ht="39.6" x14ac:dyDescent="0.25">
      <c r="A31" s="39" t="s">
        <v>123</v>
      </c>
      <c r="B31" s="80" t="s">
        <v>124</v>
      </c>
      <c r="C31" s="80" t="s">
        <v>125</v>
      </c>
      <c r="D31" s="80" t="s">
        <v>126</v>
      </c>
      <c r="E31" s="40" t="s">
        <v>127</v>
      </c>
      <c r="F31" s="40" t="s">
        <v>128</v>
      </c>
      <c r="G31" s="40" t="s">
        <v>129</v>
      </c>
      <c r="H31" s="40" t="s">
        <v>130</v>
      </c>
      <c r="I31" s="40" t="s">
        <v>131</v>
      </c>
      <c r="J31" s="80" t="s">
        <v>132</v>
      </c>
      <c r="K31" s="30"/>
    </row>
    <row r="32" spans="1:11" x14ac:dyDescent="0.25">
      <c r="A32" s="231" t="s">
        <v>133</v>
      </c>
      <c r="B32" s="32">
        <v>0</v>
      </c>
      <c r="C32" s="118"/>
      <c r="D32" s="32">
        <v>0</v>
      </c>
      <c r="E32" s="243">
        <f>Applicant1_GAIncome</f>
        <v>0</v>
      </c>
      <c r="F32" s="32">
        <v>0</v>
      </c>
      <c r="G32" s="243">
        <f>CalculationsReference!B40</f>
        <v>0</v>
      </c>
      <c r="H32" s="243">
        <f>CalculationsReference!B56</f>
        <v>0</v>
      </c>
      <c r="I32" s="243">
        <f>CalculationsReference!B57</f>
        <v>0</v>
      </c>
      <c r="J32" s="243">
        <f>CalculationsReference!B$58</f>
        <v>0</v>
      </c>
    </row>
    <row r="33" spans="1:10" x14ac:dyDescent="0.25">
      <c r="A33" s="231" t="s">
        <v>134</v>
      </c>
      <c r="B33" s="32">
        <v>0</v>
      </c>
      <c r="C33" s="118"/>
      <c r="D33" s="32">
        <v>0</v>
      </c>
      <c r="E33" s="243">
        <f>Applicant2_GAIncome</f>
        <v>0</v>
      </c>
      <c r="F33" s="32">
        <v>0</v>
      </c>
      <c r="G33" s="243">
        <f>CalculationsReference!C40</f>
        <v>0</v>
      </c>
      <c r="H33" s="243">
        <f>CalculationsReference!C56</f>
        <v>0</v>
      </c>
      <c r="I33" s="243">
        <f>CalculationsReference!C57</f>
        <v>0</v>
      </c>
      <c r="J33" s="243">
        <f>CalculationsReference!C$58</f>
        <v>0</v>
      </c>
    </row>
    <row r="34" spans="1:10" x14ac:dyDescent="0.25">
      <c r="A34" s="231" t="s">
        <v>135</v>
      </c>
      <c r="B34" s="32">
        <v>0</v>
      </c>
      <c r="C34" s="246"/>
      <c r="D34" s="32">
        <v>0</v>
      </c>
      <c r="E34" s="243">
        <f>Applicant3_GAIncome</f>
        <v>0</v>
      </c>
      <c r="F34" s="32">
        <v>0</v>
      </c>
      <c r="G34" s="243">
        <f>CalculationsReference!D40</f>
        <v>0</v>
      </c>
      <c r="H34" s="243">
        <f>CalculationsReference!D56</f>
        <v>0</v>
      </c>
      <c r="I34" s="243">
        <f>CalculationsReference!D57</f>
        <v>0</v>
      </c>
      <c r="J34" s="243">
        <f>CalculationsReference!D$58</f>
        <v>0</v>
      </c>
    </row>
    <row r="35" spans="1:10" x14ac:dyDescent="0.25">
      <c r="A35" s="231" t="s">
        <v>136</v>
      </c>
      <c r="B35" s="32">
        <v>0</v>
      </c>
      <c r="C35" s="246"/>
      <c r="D35" s="32">
        <v>0</v>
      </c>
      <c r="E35" s="243">
        <f>Applicant4_GAIncome</f>
        <v>0</v>
      </c>
      <c r="F35" s="32">
        <v>0</v>
      </c>
      <c r="G35" s="243">
        <f>CalculationsReference!E40</f>
        <v>0</v>
      </c>
      <c r="H35" s="243">
        <f>CalculationsReference!E56</f>
        <v>0</v>
      </c>
      <c r="I35" s="243">
        <f>CalculationsReference!E57</f>
        <v>0</v>
      </c>
      <c r="J35" s="243">
        <f>CalculationsReference!E$58</f>
        <v>0</v>
      </c>
    </row>
    <row r="36" spans="1:10" x14ac:dyDescent="0.25">
      <c r="A36" s="231" t="s">
        <v>137</v>
      </c>
      <c r="B36" s="32">
        <v>0</v>
      </c>
      <c r="C36" s="118"/>
      <c r="D36" s="32">
        <v>0</v>
      </c>
      <c r="E36" s="243">
        <f>Applicant5_GAIncome</f>
        <v>0</v>
      </c>
      <c r="F36" s="32">
        <v>0</v>
      </c>
      <c r="G36" s="243">
        <f>CalculationsReference!F40</f>
        <v>0</v>
      </c>
      <c r="H36" s="243">
        <f>CalculationsReference!F56</f>
        <v>0</v>
      </c>
      <c r="I36" s="243">
        <f>CalculationsReference!F57</f>
        <v>0</v>
      </c>
      <c r="J36" s="243">
        <f>CalculationsReference!F$58</f>
        <v>0</v>
      </c>
    </row>
    <row r="37" spans="1:10" x14ac:dyDescent="0.25">
      <c r="A37" s="231" t="s">
        <v>138</v>
      </c>
      <c r="B37" s="32">
        <v>0</v>
      </c>
      <c r="C37" s="246"/>
      <c r="D37" s="32">
        <v>0</v>
      </c>
      <c r="E37" s="243">
        <f>Applicant6_GAIncome</f>
        <v>0</v>
      </c>
      <c r="F37" s="32">
        <v>0</v>
      </c>
      <c r="G37" s="243">
        <f>CalculationsReference!G40</f>
        <v>0</v>
      </c>
      <c r="H37" s="243">
        <f>CalculationsReference!G56</f>
        <v>0</v>
      </c>
      <c r="I37" s="243">
        <f>CalculationsReference!G57</f>
        <v>0</v>
      </c>
      <c r="J37" s="243">
        <f>CalculationsReference!G$58</f>
        <v>0</v>
      </c>
    </row>
    <row r="38" spans="1:10" x14ac:dyDescent="0.25">
      <c r="A38" s="214" t="s">
        <v>139</v>
      </c>
      <c r="B38" s="32"/>
      <c r="C38" s="222" t="s">
        <v>140</v>
      </c>
      <c r="D38" s="223" t="s">
        <v>141</v>
      </c>
      <c r="E38" s="225"/>
      <c r="F38" s="225"/>
      <c r="G38" s="247">
        <f>B38*26</f>
        <v>0</v>
      </c>
      <c r="H38" s="225"/>
      <c r="I38" s="225"/>
      <c r="J38" s="247">
        <f>G38/12</f>
        <v>0</v>
      </c>
    </row>
    <row r="39" spans="1:10" ht="12" customHeight="1" x14ac:dyDescent="0.25">
      <c r="A39" s="83" t="s">
        <v>142</v>
      </c>
      <c r="B39" s="248"/>
      <c r="C39" s="222" t="str">
        <f>CalculationsReference!H4</f>
        <v>Fortnightly</v>
      </c>
      <c r="D39" s="224" t="s">
        <v>143</v>
      </c>
      <c r="E39" s="225"/>
      <c r="F39" s="225"/>
      <c r="G39" s="247">
        <f>Family_Payments_Amount*26</f>
        <v>0</v>
      </c>
      <c r="H39" s="225"/>
      <c r="I39" s="225"/>
      <c r="J39" s="247">
        <f>G39/12</f>
        <v>0</v>
      </c>
    </row>
    <row r="40" spans="1:10" ht="11.4" customHeight="1" x14ac:dyDescent="0.25">
      <c r="A40" s="394" t="s">
        <v>144</v>
      </c>
      <c r="B40" s="395"/>
      <c r="C40" s="395"/>
      <c r="D40" s="396"/>
      <c r="E40" s="249">
        <v>0</v>
      </c>
      <c r="F40" s="81"/>
      <c r="G40" s="82"/>
      <c r="H40" s="82"/>
      <c r="I40" s="82"/>
      <c r="J40" s="74"/>
    </row>
    <row r="41" spans="1:10" x14ac:dyDescent="0.25">
      <c r="A41" s="340" t="s">
        <v>145</v>
      </c>
      <c r="B41" s="334"/>
      <c r="C41" s="334"/>
      <c r="D41" s="335"/>
      <c r="E41" s="250">
        <f>SUM(E32:E37,G38,G39)</f>
        <v>0</v>
      </c>
      <c r="F41" s="243">
        <f>SUM(F32:F39)</f>
        <v>0</v>
      </c>
      <c r="G41" s="243">
        <f>SUM(G32:G39)</f>
        <v>0</v>
      </c>
      <c r="H41" s="243">
        <f>SUM(H32:H39)</f>
        <v>0</v>
      </c>
      <c r="I41" s="243">
        <f>SUM(I32:I40)</f>
        <v>0</v>
      </c>
      <c r="J41" s="243">
        <f>I41/12</f>
        <v>0</v>
      </c>
    </row>
    <row r="42" spans="1:10" ht="3.9" customHeight="1" x14ac:dyDescent="0.25">
      <c r="E42" s="49"/>
      <c r="F42" s="49"/>
      <c r="G42" s="49"/>
      <c r="H42" s="49"/>
      <c r="I42" s="49"/>
    </row>
    <row r="43" spans="1:10" x14ac:dyDescent="0.25">
      <c r="A43" s="399" t="s">
        <v>146</v>
      </c>
      <c r="B43" s="400"/>
      <c r="C43" s="400"/>
      <c r="D43" s="401"/>
      <c r="E43" s="86" t="s">
        <v>147</v>
      </c>
      <c r="F43" s="87"/>
      <c r="G43" s="88"/>
      <c r="H43" s="88"/>
      <c r="I43" s="89"/>
      <c r="J43" s="85" t="s">
        <v>148</v>
      </c>
    </row>
    <row r="44" spans="1:10" x14ac:dyDescent="0.25">
      <c r="A44" s="394" t="s">
        <v>27</v>
      </c>
      <c r="B44" s="395"/>
      <c r="C44" s="395"/>
      <c r="D44" s="396"/>
      <c r="E44" s="251">
        <f>Calculated_Living_Expenses</f>
        <v>0</v>
      </c>
      <c r="F44" s="378"/>
      <c r="G44" s="379"/>
      <c r="H44" s="379"/>
      <c r="I44" s="380"/>
      <c r="J44" s="252">
        <f>E44/12</f>
        <v>0</v>
      </c>
    </row>
    <row r="45" spans="1:10" x14ac:dyDescent="0.25">
      <c r="A45" s="394" t="s">
        <v>30</v>
      </c>
      <c r="B45" s="395"/>
      <c r="C45" s="395"/>
      <c r="D45" s="396"/>
      <c r="E45" s="249"/>
      <c r="F45" s="378"/>
      <c r="G45" s="379"/>
      <c r="H45" s="379"/>
      <c r="I45" s="380"/>
      <c r="J45" s="252">
        <f>E45/12</f>
        <v>0</v>
      </c>
    </row>
    <row r="46" spans="1:10" x14ac:dyDescent="0.25">
      <c r="A46" s="394" t="s">
        <v>149</v>
      </c>
      <c r="B46" s="395"/>
      <c r="C46" s="395"/>
      <c r="D46" s="396"/>
      <c r="E46" s="253">
        <f>MAX(Calculated_Living_Expenses,Living_Expenses_Override)</f>
        <v>0</v>
      </c>
      <c r="F46" s="381"/>
      <c r="G46" s="382"/>
      <c r="H46" s="382"/>
      <c r="I46" s="383"/>
      <c r="J46" s="250">
        <f>E46/12</f>
        <v>0</v>
      </c>
    </row>
    <row r="47" spans="1:10" ht="3.9" customHeight="1" x14ac:dyDescent="0.25">
      <c r="A47" s="30"/>
      <c r="B47" s="30"/>
      <c r="C47" s="30"/>
      <c r="D47" s="30"/>
      <c r="E47" s="30"/>
      <c r="F47" s="30"/>
      <c r="I47" s="30"/>
      <c r="J47" s="30"/>
    </row>
    <row r="48" spans="1:10" x14ac:dyDescent="0.25">
      <c r="A48" s="86" t="s">
        <v>150</v>
      </c>
      <c r="B48" s="84"/>
      <c r="C48" s="84"/>
      <c r="D48" s="84"/>
      <c r="E48" s="84"/>
      <c r="F48" s="85"/>
      <c r="G48" s="336" t="s">
        <v>151</v>
      </c>
      <c r="H48" s="337"/>
      <c r="I48" s="48"/>
      <c r="J48" s="48"/>
    </row>
    <row r="49" spans="1:11" x14ac:dyDescent="0.25">
      <c r="A49" s="340" t="s">
        <v>69</v>
      </c>
      <c r="B49" s="334"/>
      <c r="C49" s="334"/>
      <c r="D49" s="334"/>
      <c r="E49" s="254"/>
      <c r="F49" s="243">
        <f>Total_Net_Annual_Income</f>
        <v>0</v>
      </c>
      <c r="G49" s="392" t="e">
        <f>MaximumLoanAmount</f>
        <v>#NUM!</v>
      </c>
      <c r="H49" s="393"/>
      <c r="I49" s="203" t="s">
        <v>152</v>
      </c>
      <c r="J49" s="204" t="e">
        <f>SUM(Loan_Amount,D11,E11)/SUM(E32:F37,G39)</f>
        <v>#DIV/0!</v>
      </c>
    </row>
    <row r="50" spans="1:11" ht="13.8" thickBot="1" x14ac:dyDescent="0.3">
      <c r="A50" s="397" t="s">
        <v>153</v>
      </c>
      <c r="B50" s="398"/>
      <c r="C50" s="398"/>
      <c r="D50" s="398"/>
      <c r="E50" s="254"/>
      <c r="F50" s="243">
        <f>Applicable_Living_Expenses</f>
        <v>0</v>
      </c>
      <c r="I50" s="203" t="s">
        <v>154</v>
      </c>
      <c r="J50" s="204" t="e">
        <f>SUM(Loan_Amount,D11,E11,Other_Loans_OO_Amount,Other_Loans_Inv_Amount,Other_CreditCard_CFCU_Limits,Other_CreditCard_Amigo_Limits,Other_CreditCard_Banks_Limits,G25,Other_Commits_Amount,)/SUM(E32:F37,G38:G39,G28)</f>
        <v>#DIV/0!</v>
      </c>
      <c r="K50" s="34"/>
    </row>
    <row r="51" spans="1:11" ht="18" thickBot="1" x14ac:dyDescent="0.35">
      <c r="A51" s="397" t="s">
        <v>155</v>
      </c>
      <c r="B51" s="398"/>
      <c r="C51" s="398"/>
      <c r="D51" s="398"/>
      <c r="E51" s="254"/>
      <c r="F51" s="243" t="e">
        <f>Other_Commits_Total_Monthly_Payment*12</f>
        <v>#NUM!</v>
      </c>
      <c r="I51" s="205" t="s">
        <v>156</v>
      </c>
      <c r="J51" s="206" t="e">
        <f>IF(J50&gt;6,"Yes","No")</f>
        <v>#DIV/0!</v>
      </c>
    </row>
    <row r="52" spans="1:11" ht="12.9" customHeight="1" x14ac:dyDescent="0.25">
      <c r="A52" s="397" t="s">
        <v>157</v>
      </c>
      <c r="B52" s="398"/>
      <c r="C52" s="398"/>
      <c r="D52" s="398"/>
      <c r="E52" s="254"/>
      <c r="F52" s="243" t="e">
        <f>ARA</f>
        <v>#NUM!</v>
      </c>
      <c r="G52" s="384" t="s">
        <v>158</v>
      </c>
      <c r="H52" s="385"/>
      <c r="I52" s="385"/>
      <c r="J52" s="386"/>
    </row>
    <row r="53" spans="1:11" ht="12.9" customHeight="1" x14ac:dyDescent="0.25">
      <c r="A53" s="340" t="str">
        <f>"Proposed Loan Payments"</f>
        <v>Proposed Loan Payments</v>
      </c>
      <c r="B53" s="334"/>
      <c r="C53" s="334"/>
      <c r="D53" s="334"/>
      <c r="E53" s="254"/>
      <c r="F53" s="243" t="e">
        <f>SUM(CalculationsReference!G11,CalculationsReference!G18,CalculationsReference!G25)*12</f>
        <v>#NUM!</v>
      </c>
      <c r="G53" s="387"/>
      <c r="H53" s="388"/>
      <c r="I53" s="388"/>
      <c r="J53" s="386"/>
    </row>
    <row r="54" spans="1:11" x14ac:dyDescent="0.25">
      <c r="A54" s="397" t="s">
        <v>159</v>
      </c>
      <c r="B54" s="398"/>
      <c r="C54" s="398"/>
      <c r="D54" s="398"/>
      <c r="E54" s="254"/>
      <c r="F54" s="243" t="e">
        <f>TOTAL_COSTS-F53</f>
        <v>#NUM!</v>
      </c>
      <c r="G54" s="387"/>
      <c r="H54" s="388"/>
      <c r="I54" s="388"/>
      <c r="J54" s="386"/>
    </row>
    <row r="55" spans="1:11" x14ac:dyDescent="0.25">
      <c r="A55" s="363" t="s">
        <v>160</v>
      </c>
      <c r="B55" s="364"/>
      <c r="C55" s="364"/>
      <c r="D55" s="364"/>
      <c r="E55" s="254"/>
      <c r="F55" s="45" t="e">
        <f>NET_DISPOSABLE_INCOME/12</f>
        <v>#NUM!</v>
      </c>
      <c r="G55" s="389"/>
      <c r="H55" s="390"/>
      <c r="I55" s="390"/>
      <c r="J55" s="391"/>
    </row>
    <row r="56" spans="1:11" ht="4.5" customHeight="1" x14ac:dyDescent="0.25"/>
    <row r="57" spans="1:11" x14ac:dyDescent="0.25">
      <c r="F57" s="210"/>
    </row>
    <row r="58" spans="1:11" x14ac:dyDescent="0.25"/>
    <row r="59" spans="1:11" x14ac:dyDescent="0.25"/>
    <row r="60" spans="1:11" x14ac:dyDescent="0.25"/>
    <row r="61" spans="1:11" x14ac:dyDescent="0.25"/>
    <row r="62" spans="1:11" x14ac:dyDescent="0.25"/>
  </sheetData>
  <sheetProtection algorithmName="SHA-512" hashValue="ul/5jkD+R8bXovLJ9K06Lmvp4/Smc4W5z+O9SPBgrj/Q4l2pEfi06fJRAsUtxuRAQCcvZw2TXi+C1tLRwm2yfg==" saltValue="D6AziP1x0YWsimZcpfM1vQ==" spinCount="100000" sheet="1" selectLockedCells="1"/>
  <mergeCells count="51">
    <mergeCell ref="A40:D40"/>
    <mergeCell ref="A51:D51"/>
    <mergeCell ref="A52:D52"/>
    <mergeCell ref="A53:D53"/>
    <mergeCell ref="A54:D54"/>
    <mergeCell ref="A49:D49"/>
    <mergeCell ref="A50:D50"/>
    <mergeCell ref="A41:D41"/>
    <mergeCell ref="A43:D43"/>
    <mergeCell ref="A44:D44"/>
    <mergeCell ref="A55:D55"/>
    <mergeCell ref="E26:F26"/>
    <mergeCell ref="A22:F22"/>
    <mergeCell ref="B12:C12"/>
    <mergeCell ref="B15:C15"/>
    <mergeCell ref="B14:C14"/>
    <mergeCell ref="B13:C13"/>
    <mergeCell ref="B16:C16"/>
    <mergeCell ref="F44:I44"/>
    <mergeCell ref="F45:I45"/>
    <mergeCell ref="F46:I46"/>
    <mergeCell ref="G52:J55"/>
    <mergeCell ref="G49:H49"/>
    <mergeCell ref="G48:H48"/>
    <mergeCell ref="A46:D46"/>
    <mergeCell ref="A45:D45"/>
    <mergeCell ref="B8:C8"/>
    <mergeCell ref="B9:C9"/>
    <mergeCell ref="B6:C6"/>
    <mergeCell ref="B10:C10"/>
    <mergeCell ref="B11:C11"/>
    <mergeCell ref="J1:J2"/>
    <mergeCell ref="A5:I5"/>
    <mergeCell ref="C1:H1"/>
    <mergeCell ref="C2:H2"/>
    <mergeCell ref="B4:F4"/>
    <mergeCell ref="I1:I2"/>
    <mergeCell ref="A3:I3"/>
    <mergeCell ref="A1:A2"/>
    <mergeCell ref="A18:I18"/>
    <mergeCell ref="A17:I17"/>
    <mergeCell ref="G9:I9"/>
    <mergeCell ref="G11:I11"/>
    <mergeCell ref="A30:I30"/>
    <mergeCell ref="A29:F29"/>
    <mergeCell ref="H19:I19"/>
    <mergeCell ref="E27:F27"/>
    <mergeCell ref="A23:F23"/>
    <mergeCell ref="A24:F24"/>
    <mergeCell ref="I25:I26"/>
    <mergeCell ref="I20:I21"/>
  </mergeCells>
  <phoneticPr fontId="0" type="noConversion"/>
  <conditionalFormatting sqref="E49:E55">
    <cfRule type="cellIs" dxfId="8" priority="1" operator="lessThan">
      <formula>0</formula>
    </cfRule>
    <cfRule type="cellIs" dxfId="7" priority="2" operator="greaterThan">
      <formula>0</formula>
    </cfRule>
  </conditionalFormatting>
  <conditionalFormatting sqref="F55">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1">
    <cfRule type="containsText" dxfId="3" priority="3" operator="containsText" text="No">
      <formula>NOT(ISERROR(SEARCH("No",J51)))</formula>
    </cfRule>
    <cfRule type="containsText" dxfId="2" priority="4" operator="containsText" text="Yes">
      <formula>NOT(ISERROR(SEARCH("Yes",J51)))</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E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67"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4">
        <x14:dataValidation type="list" allowBlank="1" showInputMessage="1" showErrorMessage="1" xr:uid="{00000000-0002-0000-0100-000002000000}">
          <x14:formula1>
            <xm:f>CalculationsReference!$H$3:$H$7</xm:f>
          </x14:formula1>
          <xm:sqref>C32:C37</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CalculationsReference!$K$3:$K$7</xm:f>
          </x14:formula1>
          <xm:sqref>D39</xm:sqref>
        </x14:dataValidation>
        <x14:dataValidation type="list" allowBlank="1" showInputMessage="1" showErrorMessage="1" xr:uid="{BD4B4E24-8083-4FD6-846A-7F8423A5F558}">
          <x14:formula1>
            <xm:f>CalculationsReference!$L$3:$L$5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 customHeight="1" zeroHeight="1" x14ac:dyDescent="0.25"/>
  <cols>
    <col min="1" max="1" width="23.44140625" style="4" customWidth="1"/>
    <col min="2" max="4" width="15.44140625" style="4" customWidth="1"/>
    <col min="5" max="9" width="18.5546875" style="4" customWidth="1"/>
    <col min="10" max="10" width="21.109375" style="4" customWidth="1"/>
    <col min="11" max="11" width="0.88671875" style="4" customWidth="1"/>
    <col min="12" max="16384" width="9.109375" style="4" hidden="1"/>
  </cols>
  <sheetData>
    <row r="1" spans="1:10" ht="30" customHeight="1" x14ac:dyDescent="0.25">
      <c r="A1" s="356"/>
      <c r="B1" s="75"/>
      <c r="C1" s="348" t="s">
        <v>95</v>
      </c>
      <c r="D1" s="348"/>
      <c r="E1" s="348"/>
      <c r="F1" s="348"/>
      <c r="G1" s="348"/>
      <c r="H1" s="348"/>
      <c r="I1" s="353"/>
      <c r="J1" s="447" t="str">
        <f>Main!$J$1</f>
        <v>CFCU V13.22 - May 26</v>
      </c>
    </row>
    <row r="2" spans="1:10" ht="30" customHeight="1" x14ac:dyDescent="0.25">
      <c r="A2" s="357"/>
      <c r="B2" s="76"/>
      <c r="C2" s="349" t="s">
        <v>97</v>
      </c>
      <c r="D2" s="349"/>
      <c r="E2" s="349"/>
      <c r="F2" s="349"/>
      <c r="G2" s="349"/>
      <c r="H2" s="349"/>
      <c r="I2" s="354"/>
      <c r="J2" s="448"/>
    </row>
    <row r="3" spans="1:10" ht="3.9" customHeight="1" x14ac:dyDescent="0.25">
      <c r="A3" s="456"/>
      <c r="B3" s="457"/>
      <c r="C3" s="457"/>
      <c r="D3" s="457"/>
      <c r="E3" s="457"/>
      <c r="F3" s="457"/>
      <c r="G3" s="457"/>
      <c r="H3" s="457"/>
      <c r="I3" s="458"/>
    </row>
    <row r="4" spans="1:10" ht="13.2" x14ac:dyDescent="0.25">
      <c r="A4" s="133" t="str">
        <f>Main!A4</f>
        <v>Applicant Name</v>
      </c>
      <c r="B4" s="468">
        <f>Main!B4</f>
        <v>0</v>
      </c>
      <c r="C4" s="469"/>
      <c r="D4" s="469"/>
      <c r="E4" s="469"/>
      <c r="F4" s="470"/>
      <c r="G4" s="114"/>
      <c r="H4" s="114"/>
      <c r="I4" s="255">
        <f ca="1">Main!I4</f>
        <v>46183.658925462965</v>
      </c>
      <c r="J4" s="236"/>
    </row>
    <row r="5" spans="1:10" ht="3.9" customHeight="1" x14ac:dyDescent="0.25">
      <c r="A5" s="471"/>
      <c r="B5" s="472"/>
      <c r="C5" s="472"/>
      <c r="D5" s="472"/>
      <c r="E5" s="472"/>
      <c r="F5" s="472"/>
      <c r="G5" s="472"/>
      <c r="H5" s="472"/>
      <c r="I5" s="473"/>
    </row>
    <row r="6" spans="1:10" ht="13.2" x14ac:dyDescent="0.25">
      <c r="A6" s="133" t="str">
        <f>Main!A6</f>
        <v>Borrower Type</v>
      </c>
      <c r="B6" s="474">
        <f>Main!B6</f>
        <v>0</v>
      </c>
      <c r="C6" s="474"/>
      <c r="D6" s="113"/>
      <c r="E6" s="163"/>
      <c r="F6" s="135"/>
      <c r="G6" s="114"/>
      <c r="H6" s="114"/>
      <c r="I6" s="256"/>
      <c r="J6" s="236"/>
    </row>
    <row r="7" spans="1:10" ht="13.2" x14ac:dyDescent="0.25">
      <c r="A7" s="133" t="str">
        <f>Main!A8</f>
        <v>Loan - Owner Occupied</v>
      </c>
      <c r="B7" s="454">
        <f>Main!B8</f>
        <v>0</v>
      </c>
      <c r="C7" s="455"/>
      <c r="D7" s="115"/>
      <c r="E7" s="164"/>
      <c r="F7" s="135"/>
      <c r="G7" s="472"/>
      <c r="H7" s="472"/>
      <c r="I7" s="473"/>
    </row>
    <row r="8" spans="1:10" ht="13.2" x14ac:dyDescent="0.25">
      <c r="A8" s="133" t="str">
        <f>Main!A9</f>
        <v>Loan - Investment</v>
      </c>
      <c r="B8" s="454">
        <f>Main!B9</f>
        <v>0</v>
      </c>
      <c r="C8" s="455"/>
      <c r="D8" s="115"/>
      <c r="E8" s="164"/>
      <c r="F8" s="135"/>
      <c r="G8" s="472"/>
      <c r="H8" s="472"/>
      <c r="I8" s="473"/>
    </row>
    <row r="9" spans="1:10" ht="13.2" x14ac:dyDescent="0.25">
      <c r="A9" s="133" t="str">
        <f>Main!A10</f>
        <v>Credit Card - Limit</v>
      </c>
      <c r="B9" s="454">
        <f>Main!B10</f>
        <v>0</v>
      </c>
      <c r="C9" s="455"/>
      <c r="D9" s="115"/>
      <c r="E9" s="164"/>
      <c r="F9" s="135"/>
      <c r="G9" s="472"/>
      <c r="H9" s="472"/>
      <c r="I9" s="473"/>
    </row>
    <row r="10" spans="1:10" ht="12.9" customHeight="1" x14ac:dyDescent="0.25">
      <c r="A10" s="133" t="str">
        <f>Main!A11</f>
        <v>Total Loan Amount</v>
      </c>
      <c r="B10" s="361">
        <f>Main!B11</f>
        <v>0</v>
      </c>
      <c r="C10" s="475"/>
      <c r="D10" s="115"/>
      <c r="E10" s="164"/>
      <c r="F10" s="135"/>
      <c r="G10" s="472"/>
      <c r="H10" s="472"/>
      <c r="I10" s="473"/>
    </row>
    <row r="11" spans="1:10" ht="13.2" x14ac:dyDescent="0.25">
      <c r="A11" s="133" t="str">
        <f>Main!A12</f>
        <v>Loan Interest Rate (p.a.)</v>
      </c>
      <c r="B11" s="449">
        <f>Main!B12</f>
        <v>0</v>
      </c>
      <c r="C11" s="450"/>
      <c r="D11" s="115"/>
      <c r="E11" s="164"/>
      <c r="F11" s="135"/>
      <c r="G11" s="472"/>
      <c r="H11" s="472"/>
      <c r="I11" s="473"/>
    </row>
    <row r="12" spans="1:10" ht="13.2" x14ac:dyDescent="0.25">
      <c r="A12" s="133" t="str">
        <f>Main!A14</f>
        <v>Loan Term (Months)</v>
      </c>
      <c r="B12" s="480">
        <f>Main!B14</f>
        <v>0</v>
      </c>
      <c r="C12" s="481"/>
      <c r="D12" s="115"/>
      <c r="E12" s="164"/>
      <c r="F12" s="135"/>
      <c r="G12" s="135"/>
      <c r="H12" s="135"/>
      <c r="I12" s="136"/>
    </row>
    <row r="13" spans="1:10" ht="12.9" customHeight="1" x14ac:dyDescent="0.25">
      <c r="A13" s="133" t="str">
        <f>Main!A15</f>
        <v>Loan Term (Years)</v>
      </c>
      <c r="B13" s="372">
        <f>Main!B15</f>
        <v>0</v>
      </c>
      <c r="C13" s="451"/>
      <c r="D13" s="116"/>
      <c r="E13" s="165"/>
      <c r="F13" s="135"/>
      <c r="G13" s="452"/>
      <c r="H13" s="452"/>
      <c r="I13" s="453"/>
      <c r="J13" s="78"/>
    </row>
    <row r="14" spans="1:10" ht="12.9" customHeight="1" x14ac:dyDescent="0.25">
      <c r="A14" s="133" t="str">
        <f>Main!A16</f>
        <v>Total Monthly Payment</v>
      </c>
      <c r="B14" s="361">
        <f>Main!B16</f>
        <v>0</v>
      </c>
      <c r="C14" s="475"/>
      <c r="D14" s="117"/>
      <c r="E14" s="166"/>
      <c r="F14" s="124"/>
      <c r="G14" s="478"/>
      <c r="H14" s="478"/>
      <c r="I14" s="479"/>
      <c r="J14" s="78"/>
    </row>
    <row r="15" spans="1:10" ht="3.9" customHeight="1" x14ac:dyDescent="0.25">
      <c r="A15" s="327"/>
      <c r="B15" s="327"/>
      <c r="C15" s="327"/>
      <c r="D15" s="327"/>
      <c r="E15" s="327"/>
      <c r="F15" s="327"/>
      <c r="G15" s="327"/>
      <c r="H15" s="327"/>
      <c r="I15" s="327"/>
      <c r="J15" s="30"/>
    </row>
    <row r="16" spans="1:10" ht="13.2" x14ac:dyDescent="0.25">
      <c r="A16" s="465" t="s">
        <v>109</v>
      </c>
      <c r="B16" s="466"/>
      <c r="C16" s="466"/>
      <c r="D16" s="466"/>
      <c r="E16" s="466"/>
      <c r="F16" s="466"/>
      <c r="G16" s="466"/>
      <c r="H16" s="466"/>
      <c r="I16" s="467"/>
      <c r="J16" s="79"/>
    </row>
    <row r="17" spans="1:11" ht="13.2" x14ac:dyDescent="0.25">
      <c r="A17" s="484" t="s">
        <v>110</v>
      </c>
      <c r="B17" s="485"/>
      <c r="C17" s="485"/>
      <c r="D17" s="485"/>
      <c r="E17" s="485"/>
      <c r="F17" s="97" t="s">
        <v>23</v>
      </c>
      <c r="G17" s="137" t="s">
        <v>113</v>
      </c>
      <c r="H17" s="476" t="s">
        <v>114</v>
      </c>
      <c r="I17" s="477"/>
      <c r="J17" s="71"/>
    </row>
    <row r="18" spans="1:11" ht="12.9" customHeight="1" x14ac:dyDescent="0.25">
      <c r="A18" s="486" t="s">
        <v>115</v>
      </c>
      <c r="B18" s="487"/>
      <c r="C18" s="487"/>
      <c r="D18" s="487"/>
      <c r="E18" s="487"/>
      <c r="F18" s="257">
        <f>Main!F20</f>
        <v>0</v>
      </c>
      <c r="G18" s="47">
        <f>Main!G20</f>
        <v>0</v>
      </c>
      <c r="H18" s="47" t="e">
        <f>Main!H20</f>
        <v>#NUM!</v>
      </c>
      <c r="I18" s="445" t="str">
        <f>Main!I20</f>
        <v>Credit Card payments are based on</v>
      </c>
      <c r="J18" s="78"/>
    </row>
    <row r="19" spans="1:11" ht="12.9" customHeight="1" x14ac:dyDescent="0.25">
      <c r="A19" s="488" t="s">
        <v>116</v>
      </c>
      <c r="B19" s="489"/>
      <c r="C19" s="489"/>
      <c r="D19" s="489"/>
      <c r="E19" s="489"/>
      <c r="F19" s="258">
        <f>Main!F21</f>
        <v>0</v>
      </c>
      <c r="G19" s="47">
        <f>Main!G21</f>
        <v>0</v>
      </c>
      <c r="H19" s="47">
        <f>Main!H21</f>
        <v>0</v>
      </c>
      <c r="I19" s="446"/>
      <c r="J19" s="78"/>
    </row>
    <row r="20" spans="1:11" ht="13.2" x14ac:dyDescent="0.25">
      <c r="A20" s="463" t="s">
        <v>40</v>
      </c>
      <c r="B20" s="464"/>
      <c r="C20" s="464"/>
      <c r="D20" s="464"/>
      <c r="E20" s="461"/>
      <c r="F20" s="462"/>
      <c r="G20" s="47">
        <f>Main!G22</f>
        <v>0</v>
      </c>
      <c r="H20" s="243">
        <f>Main!H22</f>
        <v>0</v>
      </c>
      <c r="I20" s="181" t="str">
        <f>Main!I22</f>
        <v>3.2%</v>
      </c>
      <c r="J20" s="78"/>
    </row>
    <row r="21" spans="1:11" ht="13.2" x14ac:dyDescent="0.25">
      <c r="A21" s="463" t="s">
        <v>42</v>
      </c>
      <c r="B21" s="464"/>
      <c r="C21" s="464"/>
      <c r="D21" s="464"/>
      <c r="E21" s="461"/>
      <c r="F21" s="462"/>
      <c r="G21" s="47">
        <f>Main!G23</f>
        <v>0</v>
      </c>
      <c r="H21" s="243">
        <f>Main!H23</f>
        <v>0</v>
      </c>
      <c r="I21" s="181" t="str">
        <f>Main!I23</f>
        <v>3.5%</v>
      </c>
      <c r="J21" s="78"/>
    </row>
    <row r="22" spans="1:11" ht="13.2" x14ac:dyDescent="0.25">
      <c r="A22" s="463" t="s">
        <v>44</v>
      </c>
      <c r="B22" s="464"/>
      <c r="C22" s="464"/>
      <c r="D22" s="464"/>
      <c r="E22" s="461"/>
      <c r="F22" s="462"/>
      <c r="G22" s="47">
        <f>Main!G24</f>
        <v>0</v>
      </c>
      <c r="H22" s="243">
        <f>Main!H24</f>
        <v>0</v>
      </c>
      <c r="I22" s="181" t="str">
        <f>Main!I24</f>
        <v>3.75%</v>
      </c>
      <c r="J22" s="78"/>
    </row>
    <row r="23" spans="1:11" ht="13.2" x14ac:dyDescent="0.25">
      <c r="A23" s="463" t="s">
        <v>119</v>
      </c>
      <c r="B23" s="464"/>
      <c r="C23" s="464"/>
      <c r="D23" s="464"/>
      <c r="E23" s="461"/>
      <c r="F23" s="462"/>
      <c r="G23" s="47">
        <f>Main!G25</f>
        <v>0</v>
      </c>
      <c r="H23" s="243">
        <f>Main!H25</f>
        <v>0</v>
      </c>
      <c r="I23" s="446" t="str">
        <f>Main!I25</f>
        <v>of Credit Limit per month</v>
      </c>
      <c r="J23" s="78"/>
    </row>
    <row r="24" spans="1:11" ht="13.2" x14ac:dyDescent="0.25">
      <c r="A24" s="490" t="s">
        <v>120</v>
      </c>
      <c r="B24" s="461"/>
      <c r="C24" s="461"/>
      <c r="D24" s="461"/>
      <c r="E24" s="482">
        <f>Main!$E$26</f>
        <v>0</v>
      </c>
      <c r="F24" s="491"/>
      <c r="G24" s="47">
        <f>Main!G26</f>
        <v>0</v>
      </c>
      <c r="H24" s="47">
        <f>Main!H26</f>
        <v>0</v>
      </c>
      <c r="I24" s="446"/>
      <c r="J24" s="78"/>
    </row>
    <row r="25" spans="1:11" ht="13.2" x14ac:dyDescent="0.25">
      <c r="A25" s="259" t="str">
        <f>Main!A27</f>
        <v>Monthly Rent (Specify Address)</v>
      </c>
      <c r="B25" s="260"/>
      <c r="C25" s="260"/>
      <c r="D25" s="260"/>
      <c r="E25" s="482">
        <f>Main!E27</f>
        <v>0</v>
      </c>
      <c r="F25" s="483"/>
      <c r="G25" s="137"/>
      <c r="H25" s="47">
        <f>Main!H27</f>
        <v>0</v>
      </c>
      <c r="I25" s="179"/>
      <c r="J25" s="78"/>
    </row>
    <row r="26" spans="1:11" ht="13.2" x14ac:dyDescent="0.25">
      <c r="A26" s="459" t="str">
        <f>Main!A29</f>
        <v>Total</v>
      </c>
      <c r="B26" s="460"/>
      <c r="C26" s="460"/>
      <c r="D26" s="460"/>
      <c r="E26" s="461"/>
      <c r="F26" s="462"/>
      <c r="G26" s="261">
        <f>Main!G29</f>
        <v>0</v>
      </c>
      <c r="H26" s="261" t="e">
        <f>Main!H29</f>
        <v>#NUM!</v>
      </c>
      <c r="I26" s="180"/>
      <c r="J26" s="78"/>
    </row>
    <row r="27" spans="1:11" ht="3.9" customHeight="1" x14ac:dyDescent="0.25">
      <c r="A27" s="330"/>
      <c r="B27" s="330"/>
      <c r="C27" s="330"/>
      <c r="D27" s="330"/>
      <c r="E27" s="330"/>
      <c r="F27" s="330"/>
      <c r="G27" s="330"/>
      <c r="H27" s="330"/>
      <c r="I27" s="331"/>
      <c r="J27" s="30"/>
    </row>
    <row r="28" spans="1:11" ht="39.6" x14ac:dyDescent="0.25">
      <c r="A28" s="108" t="s">
        <v>123</v>
      </c>
      <c r="B28" s="110" t="s">
        <v>124</v>
      </c>
      <c r="C28" s="110" t="s">
        <v>125</v>
      </c>
      <c r="D28" s="110" t="s">
        <v>126</v>
      </c>
      <c r="E28" s="111" t="s">
        <v>127</v>
      </c>
      <c r="F28" s="111" t="s">
        <v>128</v>
      </c>
      <c r="G28" s="111" t="s">
        <v>129</v>
      </c>
      <c r="H28" s="111" t="s">
        <v>130</v>
      </c>
      <c r="I28" s="111" t="s">
        <v>131</v>
      </c>
      <c r="J28" s="112" t="s">
        <v>132</v>
      </c>
      <c r="K28" s="30"/>
    </row>
    <row r="29" spans="1:11" ht="13.2" x14ac:dyDescent="0.25">
      <c r="A29" s="262" t="s">
        <v>133</v>
      </c>
      <c r="B29" s="47">
        <f>Main!B32</f>
        <v>0</v>
      </c>
      <c r="C29" s="263">
        <f>Main!C32</f>
        <v>0</v>
      </c>
      <c r="D29" s="47">
        <f>Main!D32</f>
        <v>0</v>
      </c>
      <c r="E29" s="261">
        <f>Main!E32</f>
        <v>0</v>
      </c>
      <c r="F29" s="47">
        <f>Main!F32</f>
        <v>0</v>
      </c>
      <c r="G29" s="261">
        <f>Main!G32</f>
        <v>0</v>
      </c>
      <c r="H29" s="261">
        <f>Main!H32</f>
        <v>0</v>
      </c>
      <c r="I29" s="261">
        <f>Main!I32</f>
        <v>0</v>
      </c>
      <c r="J29" s="261">
        <f>Main!J32</f>
        <v>0</v>
      </c>
    </row>
    <row r="30" spans="1:11" ht="13.2" x14ac:dyDescent="0.25">
      <c r="A30" s="262" t="s">
        <v>134</v>
      </c>
      <c r="B30" s="47">
        <f>Main!B33</f>
        <v>0</v>
      </c>
      <c r="C30" s="263">
        <f>Main!C33</f>
        <v>0</v>
      </c>
      <c r="D30" s="47">
        <f>Main!D33</f>
        <v>0</v>
      </c>
      <c r="E30" s="261">
        <f>Main!E33</f>
        <v>0</v>
      </c>
      <c r="F30" s="47">
        <f>Main!F33</f>
        <v>0</v>
      </c>
      <c r="G30" s="261">
        <f>Main!G33</f>
        <v>0</v>
      </c>
      <c r="H30" s="261">
        <f>Main!H33</f>
        <v>0</v>
      </c>
      <c r="I30" s="261">
        <f>Main!I33</f>
        <v>0</v>
      </c>
      <c r="J30" s="261">
        <f>Main!J33</f>
        <v>0</v>
      </c>
    </row>
    <row r="31" spans="1:11" ht="13.2" x14ac:dyDescent="0.25">
      <c r="A31" s="262" t="s">
        <v>135</v>
      </c>
      <c r="B31" s="47">
        <f>Main!B34</f>
        <v>0</v>
      </c>
      <c r="C31" s="263">
        <f>Main!C34</f>
        <v>0</v>
      </c>
      <c r="D31" s="47">
        <f>Main!D34</f>
        <v>0</v>
      </c>
      <c r="E31" s="261">
        <f>Main!E34</f>
        <v>0</v>
      </c>
      <c r="F31" s="47">
        <f>Main!F34</f>
        <v>0</v>
      </c>
      <c r="G31" s="261">
        <f>Main!G34</f>
        <v>0</v>
      </c>
      <c r="H31" s="261">
        <f>Main!H34</f>
        <v>0</v>
      </c>
      <c r="I31" s="261">
        <f>Main!I34</f>
        <v>0</v>
      </c>
      <c r="J31" s="261">
        <f>Main!J34</f>
        <v>0</v>
      </c>
    </row>
    <row r="32" spans="1:11" ht="13.2" x14ac:dyDescent="0.25">
      <c r="A32" s="262" t="s">
        <v>136</v>
      </c>
      <c r="B32" s="47">
        <f>Main!B35</f>
        <v>0</v>
      </c>
      <c r="C32" s="263">
        <f>Main!C35</f>
        <v>0</v>
      </c>
      <c r="D32" s="47">
        <f>Main!D35</f>
        <v>0</v>
      </c>
      <c r="E32" s="261">
        <f>Main!E35</f>
        <v>0</v>
      </c>
      <c r="F32" s="47">
        <f>Main!F35</f>
        <v>0</v>
      </c>
      <c r="G32" s="261">
        <f>Main!G35</f>
        <v>0</v>
      </c>
      <c r="H32" s="261">
        <f>Main!H35</f>
        <v>0</v>
      </c>
      <c r="I32" s="261">
        <f>Main!I35</f>
        <v>0</v>
      </c>
      <c r="J32" s="261">
        <f>Main!J35</f>
        <v>0</v>
      </c>
    </row>
    <row r="33" spans="1:10" ht="13.2" x14ac:dyDescent="0.25">
      <c r="A33" s="262" t="s">
        <v>137</v>
      </c>
      <c r="B33" s="47">
        <f>Main!B36</f>
        <v>0</v>
      </c>
      <c r="C33" s="263">
        <f>Main!C36</f>
        <v>0</v>
      </c>
      <c r="D33" s="47">
        <f>Main!D36</f>
        <v>0</v>
      </c>
      <c r="E33" s="261">
        <f>Main!E36</f>
        <v>0</v>
      </c>
      <c r="F33" s="47">
        <f>Main!F36</f>
        <v>0</v>
      </c>
      <c r="G33" s="261">
        <f>Main!G36</f>
        <v>0</v>
      </c>
      <c r="H33" s="261">
        <f>Main!H36</f>
        <v>0</v>
      </c>
      <c r="I33" s="261">
        <f>Main!I36</f>
        <v>0</v>
      </c>
      <c r="J33" s="261">
        <f>Main!J36</f>
        <v>0</v>
      </c>
    </row>
    <row r="34" spans="1:10" ht="13.2" x14ac:dyDescent="0.25">
      <c r="A34" s="262" t="s">
        <v>138</v>
      </c>
      <c r="B34" s="47">
        <f>Main!B37</f>
        <v>0</v>
      </c>
      <c r="C34" s="263">
        <f>Main!C37</f>
        <v>0</v>
      </c>
      <c r="D34" s="47">
        <f>Main!D37</f>
        <v>0</v>
      </c>
      <c r="E34" s="261">
        <f>Main!E37</f>
        <v>0</v>
      </c>
      <c r="F34" s="47">
        <f>Main!F37</f>
        <v>0</v>
      </c>
      <c r="G34" s="261">
        <f>Main!G37</f>
        <v>0</v>
      </c>
      <c r="H34" s="261">
        <f>Main!H37</f>
        <v>0</v>
      </c>
      <c r="I34" s="261">
        <f>Main!I37</f>
        <v>0</v>
      </c>
      <c r="J34" s="261">
        <f>Main!J37</f>
        <v>0</v>
      </c>
    </row>
    <row r="35" spans="1:10" ht="52.8" x14ac:dyDescent="0.25">
      <c r="A35" s="109" t="s">
        <v>161</v>
      </c>
      <c r="B35" s="264">
        <f>Main!B39</f>
        <v>0</v>
      </c>
      <c r="C35" s="90" t="str">
        <f>Main!C39</f>
        <v>Fortnightly</v>
      </c>
      <c r="D35" s="230"/>
      <c r="E35" s="230"/>
      <c r="F35" s="230"/>
      <c r="G35" s="230"/>
      <c r="H35" s="230"/>
      <c r="I35" s="265">
        <f>Main!G39</f>
        <v>0</v>
      </c>
      <c r="J35" s="265">
        <f>Main!J39</f>
        <v>0</v>
      </c>
    </row>
    <row r="36" spans="1:10" ht="13.2" x14ac:dyDescent="0.25">
      <c r="A36" s="488" t="s">
        <v>162</v>
      </c>
      <c r="B36" s="489"/>
      <c r="C36" s="489"/>
      <c r="D36" s="501"/>
      <c r="E36" s="47" t="e">
        <f>Main!#REF!</f>
        <v>#REF!</v>
      </c>
      <c r="F36" s="266" t="e">
        <f>Main!#REF!</f>
        <v>#REF!</v>
      </c>
      <c r="G36" s="267" t="e">
        <f>Main!#REF!</f>
        <v>#REF!</v>
      </c>
      <c r="H36" s="268" t="e">
        <f>Main!#REF!</f>
        <v>#REF!</v>
      </c>
      <c r="I36" s="267" t="e">
        <f>Main!#REF!</f>
        <v>#REF!</v>
      </c>
      <c r="J36" s="267" t="e">
        <f>Main!#REF!</f>
        <v>#REF!</v>
      </c>
    </row>
    <row r="37" spans="1:10" ht="13.2" x14ac:dyDescent="0.25">
      <c r="A37" s="488" t="s">
        <v>144</v>
      </c>
      <c r="B37" s="489"/>
      <c r="C37" s="489"/>
      <c r="D37" s="501"/>
      <c r="E37" s="269">
        <f>Main!E40</f>
        <v>0</v>
      </c>
      <c r="F37" s="101"/>
      <c r="G37" s="102"/>
      <c r="H37" s="102"/>
      <c r="I37" s="102"/>
      <c r="J37" s="103"/>
    </row>
    <row r="38" spans="1:10" ht="13.2" x14ac:dyDescent="0.25">
      <c r="A38" s="488" t="s">
        <v>163</v>
      </c>
      <c r="B38" s="489"/>
      <c r="C38" s="489"/>
      <c r="D38" s="501"/>
      <c r="E38" s="267" t="e">
        <f>Main!#REF!</f>
        <v>#REF!</v>
      </c>
      <c r="F38" s="163" t="e">
        <f>Main!#REF!</f>
        <v>#REF!</v>
      </c>
      <c r="G38" s="163"/>
      <c r="H38" s="163"/>
      <c r="I38" s="163"/>
      <c r="J38" s="270"/>
    </row>
    <row r="39" spans="1:10" ht="13.2" x14ac:dyDescent="0.25">
      <c r="A39" s="229" t="s">
        <v>164</v>
      </c>
      <c r="B39" s="230"/>
      <c r="C39" s="230"/>
      <c r="D39" s="230"/>
      <c r="E39" s="230"/>
      <c r="F39" s="230"/>
      <c r="G39" s="230"/>
      <c r="H39" s="230"/>
      <c r="I39" s="47" t="e">
        <f>Main!#REF!</f>
        <v>#REF!</v>
      </c>
      <c r="J39" s="138"/>
    </row>
    <row r="40" spans="1:10" ht="13.2" x14ac:dyDescent="0.25">
      <c r="A40" s="490" t="s">
        <v>145</v>
      </c>
      <c r="B40" s="461"/>
      <c r="C40" s="461"/>
      <c r="D40" s="462"/>
      <c r="E40" s="271">
        <f>Main!E41</f>
        <v>0</v>
      </c>
      <c r="F40" s="261">
        <f>Main!F41</f>
        <v>0</v>
      </c>
      <c r="G40" s="261">
        <f>Main!G41</f>
        <v>0</v>
      </c>
      <c r="H40" s="261">
        <f>Main!H41</f>
        <v>0</v>
      </c>
      <c r="I40" s="261">
        <f>Main!I41</f>
        <v>0</v>
      </c>
      <c r="J40" s="261">
        <f>Main!J41</f>
        <v>0</v>
      </c>
    </row>
    <row r="41" spans="1:10" ht="3.9" customHeight="1" x14ac:dyDescent="0.25">
      <c r="E41" s="49"/>
      <c r="F41" s="49"/>
      <c r="G41" s="49"/>
      <c r="H41" s="49"/>
      <c r="I41" s="49"/>
    </row>
    <row r="42" spans="1:10" ht="13.2" x14ac:dyDescent="0.25">
      <c r="A42" s="484" t="s">
        <v>146</v>
      </c>
      <c r="B42" s="485"/>
      <c r="C42" s="485"/>
      <c r="D42" s="502"/>
      <c r="E42" s="92" t="s">
        <v>147</v>
      </c>
      <c r="F42" s="98"/>
      <c r="G42" s="99"/>
      <c r="H42" s="99"/>
      <c r="I42" s="100"/>
      <c r="J42" s="97" t="s">
        <v>148</v>
      </c>
    </row>
    <row r="43" spans="1:10" ht="13.2" x14ac:dyDescent="0.25">
      <c r="A43" s="488" t="s">
        <v>27</v>
      </c>
      <c r="B43" s="489"/>
      <c r="C43" s="489"/>
      <c r="D43" s="501"/>
      <c r="E43" s="272">
        <f>Main!E44</f>
        <v>0</v>
      </c>
      <c r="F43" s="495"/>
      <c r="G43" s="496"/>
      <c r="H43" s="496"/>
      <c r="I43" s="497"/>
      <c r="J43" s="273">
        <f>Main!J44</f>
        <v>0</v>
      </c>
    </row>
    <row r="44" spans="1:10" ht="13.2" x14ac:dyDescent="0.25">
      <c r="A44" s="488" t="s">
        <v>30</v>
      </c>
      <c r="B44" s="489"/>
      <c r="C44" s="489"/>
      <c r="D44" s="501"/>
      <c r="E44" s="269">
        <f>Main!E45</f>
        <v>0</v>
      </c>
      <c r="F44" s="495"/>
      <c r="G44" s="496"/>
      <c r="H44" s="496"/>
      <c r="I44" s="497"/>
      <c r="J44" s="273">
        <f>Main!J45</f>
        <v>0</v>
      </c>
    </row>
    <row r="45" spans="1:10" ht="13.2" x14ac:dyDescent="0.25">
      <c r="A45" s="488" t="s">
        <v>149</v>
      </c>
      <c r="B45" s="489"/>
      <c r="C45" s="489"/>
      <c r="D45" s="501"/>
      <c r="E45" s="274">
        <f>Main!E46</f>
        <v>0</v>
      </c>
      <c r="F45" s="498"/>
      <c r="G45" s="499"/>
      <c r="H45" s="499"/>
      <c r="I45" s="500"/>
      <c r="J45" s="271">
        <f>Main!J46</f>
        <v>0</v>
      </c>
    </row>
    <row r="46" spans="1:10" ht="3.9" customHeight="1" x14ac:dyDescent="0.25">
      <c r="A46" s="30"/>
      <c r="B46" s="30"/>
      <c r="C46" s="30"/>
      <c r="D46" s="30"/>
      <c r="E46" s="30"/>
      <c r="F46" s="30"/>
      <c r="I46" s="30"/>
      <c r="J46" s="30"/>
    </row>
    <row r="47" spans="1:10" ht="13.2" x14ac:dyDescent="0.25">
      <c r="A47" s="92" t="s">
        <v>150</v>
      </c>
      <c r="B47" s="93"/>
      <c r="C47" s="93"/>
      <c r="D47" s="93"/>
      <c r="E47" s="93"/>
      <c r="F47" s="97"/>
      <c r="G47" s="476" t="e">
        <f>Maximum_Loan_Amount_Text</f>
        <v>#REF!</v>
      </c>
      <c r="H47" s="477"/>
      <c r="I47" s="104"/>
      <c r="J47" s="105"/>
    </row>
    <row r="48" spans="1:10" ht="13.2" x14ac:dyDescent="0.25">
      <c r="A48" s="492" t="s">
        <v>69</v>
      </c>
      <c r="B48" s="492"/>
      <c r="C48" s="492"/>
      <c r="D48" s="492"/>
      <c r="E48" s="492"/>
      <c r="F48" s="261">
        <f>Main!F49</f>
        <v>0</v>
      </c>
      <c r="G48" s="493" t="e">
        <f>Main!$G$49</f>
        <v>#NUM!</v>
      </c>
      <c r="H48" s="494"/>
      <c r="I48" s="135"/>
      <c r="J48" s="136"/>
    </row>
    <row r="49" spans="1:11" ht="13.2" x14ac:dyDescent="0.25">
      <c r="A49" s="503" t="s">
        <v>153</v>
      </c>
      <c r="B49" s="504"/>
      <c r="C49" s="504"/>
      <c r="D49" s="504"/>
      <c r="E49" s="462"/>
      <c r="F49" s="261">
        <f>Main!F50</f>
        <v>0</v>
      </c>
      <c r="G49" s="106"/>
      <c r="H49" s="135"/>
      <c r="I49" s="135"/>
      <c r="J49" s="275"/>
      <c r="K49" s="34"/>
    </row>
    <row r="50" spans="1:11" ht="13.2" x14ac:dyDescent="0.25">
      <c r="A50" s="503" t="s">
        <v>155</v>
      </c>
      <c r="B50" s="504"/>
      <c r="C50" s="504"/>
      <c r="D50" s="504"/>
      <c r="E50" s="462"/>
      <c r="F50" s="261" t="e">
        <f>Main!F51</f>
        <v>#NUM!</v>
      </c>
      <c r="G50" s="134"/>
      <c r="H50" s="124"/>
      <c r="I50" s="124"/>
      <c r="J50" s="107"/>
    </row>
    <row r="51" spans="1:11" ht="12.9" customHeight="1" x14ac:dyDescent="0.25">
      <c r="A51" s="505" t="s">
        <v>157</v>
      </c>
      <c r="B51" s="505"/>
      <c r="C51" s="505"/>
      <c r="D51" s="505"/>
      <c r="E51" s="492"/>
      <c r="F51" s="261" t="e">
        <f>Main!F52</f>
        <v>#NUM!</v>
      </c>
      <c r="G51" s="384" t="s">
        <v>158</v>
      </c>
      <c r="H51" s="385"/>
      <c r="I51" s="385"/>
      <c r="J51" s="506"/>
    </row>
    <row r="52" spans="1:11" ht="12.9" customHeight="1" x14ac:dyDescent="0.25">
      <c r="A52" s="490" t="str">
        <f>"Proposed Loan Payments @ "&amp;TEXT(CalculationsReference!G9,"##0.00%")</f>
        <v>Proposed Loan Payments @ 6.84%</v>
      </c>
      <c r="B52" s="461"/>
      <c r="C52" s="461"/>
      <c r="D52" s="461"/>
      <c r="E52" s="462"/>
      <c r="F52" s="261" t="e">
        <f>Main!F53</f>
        <v>#NUM!</v>
      </c>
      <c r="G52" s="387"/>
      <c r="H52" s="388"/>
      <c r="I52" s="388"/>
      <c r="J52" s="386"/>
    </row>
    <row r="53" spans="1:11" ht="13.2" x14ac:dyDescent="0.25">
      <c r="A53" s="507" t="s">
        <v>159</v>
      </c>
      <c r="B53" s="507"/>
      <c r="C53" s="507"/>
      <c r="D53" s="507"/>
      <c r="E53" s="508"/>
      <c r="F53" s="261" t="e">
        <f>Main!F54</f>
        <v>#NUM!</v>
      </c>
      <c r="G53" s="387"/>
      <c r="H53" s="388"/>
      <c r="I53" s="388"/>
      <c r="J53" s="386"/>
    </row>
    <row r="54" spans="1:11" ht="13.2" x14ac:dyDescent="0.25">
      <c r="A54" s="94" t="s">
        <v>160</v>
      </c>
      <c r="B54" s="95"/>
      <c r="C54" s="95"/>
      <c r="D54" s="95"/>
      <c r="E54" s="96"/>
      <c r="F54" s="45" t="e">
        <f>Main!F55</f>
        <v>#NUM!</v>
      </c>
      <c r="G54" s="389"/>
      <c r="H54" s="390"/>
      <c r="I54" s="390"/>
      <c r="J54" s="391"/>
    </row>
    <row r="55" spans="1:11" ht="4.5" customHeight="1" x14ac:dyDescent="0.25"/>
    <row r="56" spans="1:11" ht="13.2" x14ac:dyDescent="0.25"/>
  </sheetData>
  <sheetProtection selectLockedCells="1"/>
  <mergeCells count="57">
    <mergeCell ref="A49:E49"/>
    <mergeCell ref="A50:E50"/>
    <mergeCell ref="A51:E51"/>
    <mergeCell ref="G51:J54"/>
    <mergeCell ref="A52:E52"/>
    <mergeCell ref="A53:E53"/>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E25:F25"/>
    <mergeCell ref="A17:E17"/>
    <mergeCell ref="A18:E18"/>
    <mergeCell ref="A19:E19"/>
    <mergeCell ref="A24:D24"/>
    <mergeCell ref="A21:F21"/>
    <mergeCell ref="A22:F22"/>
    <mergeCell ref="A20:F20"/>
    <mergeCell ref="E24:F24"/>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I18:I19"/>
    <mergeCell ref="J1:J2"/>
    <mergeCell ref="C2:H2"/>
    <mergeCell ref="B11:C11"/>
    <mergeCell ref="B13:C13"/>
    <mergeCell ref="G13:I13"/>
    <mergeCell ref="B9:C9"/>
    <mergeCell ref="A3:I3"/>
    <mergeCell ref="A1:A2"/>
    <mergeCell ref="C1:H1"/>
    <mergeCell ref="I1:I2"/>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47" zoomScale="90" zoomScaleNormal="90" workbookViewId="0">
      <selection activeCell="A80" sqref="A80"/>
    </sheetView>
  </sheetViews>
  <sheetFormatPr defaultColWidth="9.109375" defaultRowHeight="13.2" x14ac:dyDescent="0.25"/>
  <cols>
    <col min="1" max="1" width="46" style="4" customWidth="1"/>
    <col min="2" max="2" width="18.44140625" style="4" customWidth="1"/>
    <col min="3" max="3" width="18" style="4" bestFit="1" customWidth="1"/>
    <col min="4" max="4" width="18.44140625" style="4" customWidth="1"/>
    <col min="5" max="5" width="15.5546875" style="4" customWidth="1"/>
    <col min="6" max="6" width="18" style="4" customWidth="1"/>
    <col min="7" max="7" width="19.5546875" style="4" bestFit="1" customWidth="1"/>
    <col min="8" max="8" width="19.44140625" style="4" bestFit="1" customWidth="1"/>
    <col min="9" max="9" width="15.44140625" style="4" bestFit="1" customWidth="1"/>
    <col min="10" max="10" width="12.109375" style="4" bestFit="1" customWidth="1"/>
    <col min="11" max="11" width="23.109375" style="4" bestFit="1" customWidth="1"/>
    <col min="12" max="12" width="22.44140625" style="4" bestFit="1" customWidth="1"/>
    <col min="13" max="13" width="10.5546875" style="4" customWidth="1"/>
    <col min="14" max="21" width="11.109375" style="4" bestFit="1" customWidth="1"/>
    <col min="22" max="16384" width="9.109375" style="4"/>
  </cols>
  <sheetData>
    <row r="1" spans="1:12" ht="15.9" customHeight="1" x14ac:dyDescent="0.25">
      <c r="A1" s="518" t="s">
        <v>165</v>
      </c>
      <c r="B1" s="519"/>
      <c r="C1" s="519"/>
      <c r="D1" s="519"/>
      <c r="E1" s="519"/>
      <c r="F1" s="5">
        <f>Main!I1</f>
        <v>0</v>
      </c>
    </row>
    <row r="2" spans="1:12" x14ac:dyDescent="0.25">
      <c r="A2" s="8"/>
      <c r="B2" s="8"/>
      <c r="H2" s="77" t="s">
        <v>166</v>
      </c>
      <c r="I2" s="9" t="s">
        <v>167</v>
      </c>
      <c r="J2" s="30"/>
      <c r="K2" s="9" t="s">
        <v>168</v>
      </c>
      <c r="L2" s="219" t="s">
        <v>139</v>
      </c>
    </row>
    <row r="3" spans="1:12" x14ac:dyDescent="0.25">
      <c r="A3" s="520" t="s">
        <v>169</v>
      </c>
      <c r="B3" s="521"/>
      <c r="C3" s="521"/>
      <c r="H3" s="276" t="s">
        <v>170</v>
      </c>
      <c r="I3" s="277">
        <v>52</v>
      </c>
      <c r="K3" s="30" t="s">
        <v>143</v>
      </c>
      <c r="L3" s="30" t="s">
        <v>141</v>
      </c>
    </row>
    <row r="4" spans="1:12" x14ac:dyDescent="0.25">
      <c r="A4" s="128" t="s">
        <v>171</v>
      </c>
      <c r="B4" s="278">
        <v>3.8399999999999997E-2</v>
      </c>
      <c r="C4" s="191">
        <f>Loan_Interest_Rate</f>
        <v>0</v>
      </c>
      <c r="H4" s="276" t="s">
        <v>140</v>
      </c>
      <c r="I4" s="277">
        <v>26</v>
      </c>
      <c r="K4" s="30" t="s">
        <v>172</v>
      </c>
      <c r="L4" s="30" t="s">
        <v>173</v>
      </c>
    </row>
    <row r="5" spans="1:12" x14ac:dyDescent="0.25">
      <c r="A5" s="128" t="s">
        <v>174</v>
      </c>
      <c r="B5" s="278">
        <v>0.03</v>
      </c>
      <c r="C5" s="279"/>
      <c r="H5" s="276" t="s">
        <v>175</v>
      </c>
      <c r="I5" s="280">
        <v>12</v>
      </c>
      <c r="K5" s="30" t="s">
        <v>176</v>
      </c>
      <c r="L5" s="30" t="s">
        <v>177</v>
      </c>
    </row>
    <row r="6" spans="1:12" x14ac:dyDescent="0.25">
      <c r="B6" s="279"/>
      <c r="C6" s="279"/>
      <c r="H6" s="276" t="s">
        <v>178</v>
      </c>
      <c r="I6" s="280">
        <v>4</v>
      </c>
      <c r="K6" s="30" t="s">
        <v>177</v>
      </c>
    </row>
    <row r="7" spans="1:12" x14ac:dyDescent="0.25">
      <c r="A7" s="10" t="s">
        <v>179</v>
      </c>
      <c r="B7" s="513" t="s">
        <v>180</v>
      </c>
      <c r="C7" s="512"/>
      <c r="D7" s="513" t="s">
        <v>181</v>
      </c>
      <c r="E7" s="512"/>
      <c r="F7" s="511" t="s">
        <v>182</v>
      </c>
      <c r="G7" s="512"/>
      <c r="H7" s="276" t="s">
        <v>183</v>
      </c>
      <c r="I7" s="280">
        <v>1</v>
      </c>
    </row>
    <row r="8" spans="1:12" x14ac:dyDescent="0.25">
      <c r="A8" s="515" t="s">
        <v>184</v>
      </c>
      <c r="B8" s="281" t="s">
        <v>73</v>
      </c>
      <c r="C8" s="162">
        <f>SUM(Main!B8:C9)</f>
        <v>0</v>
      </c>
      <c r="D8" s="282" t="s">
        <v>185</v>
      </c>
      <c r="E8" s="162">
        <f>Credit_Card_Limit</f>
        <v>0</v>
      </c>
      <c r="F8" s="283" t="s">
        <v>73</v>
      </c>
      <c r="G8" s="162">
        <f>C8</f>
        <v>0</v>
      </c>
    </row>
    <row r="9" spans="1:12" x14ac:dyDescent="0.25">
      <c r="A9" s="516"/>
      <c r="B9" s="281" t="s">
        <v>112</v>
      </c>
      <c r="C9" s="284">
        <f>Loan_Interest_Rate</f>
        <v>0</v>
      </c>
      <c r="F9" s="283" t="s">
        <v>112</v>
      </c>
      <c r="G9" s="285">
        <f>IF(H9&lt;HiddenReference!C13,HiddenReference!C13,H9)</f>
        <v>6.8399999999999989E-2</v>
      </c>
      <c r="H9" s="286">
        <f>IF(Main!B13="Variable",C9+Minimum_Servicing_Test_Rate,B12+Minimum_Servicing_Test_Rate)</f>
        <v>6.8399999999999989E-2</v>
      </c>
    </row>
    <row r="10" spans="1:12" ht="13.8" thickBot="1" x14ac:dyDescent="0.3">
      <c r="A10" s="516"/>
      <c r="B10" s="287" t="s">
        <v>107</v>
      </c>
      <c r="C10" s="280">
        <f>Loan_Term_Years</f>
        <v>0</v>
      </c>
      <c r="D10" s="192" t="e">
        <f>PMT(G9/12,C10*12,C8,0,0)</f>
        <v>#NUM!</v>
      </c>
      <c r="F10" s="283" t="s">
        <v>107</v>
      </c>
      <c r="G10" s="288">
        <f>Loan_Term_Years</f>
        <v>0</v>
      </c>
    </row>
    <row r="11" spans="1:12" ht="13.8" thickBot="1" x14ac:dyDescent="0.3">
      <c r="A11" s="517"/>
      <c r="B11" s="282" t="s">
        <v>186</v>
      </c>
      <c r="C11" s="289">
        <f>(ROUNDUP(IF(AND(C8&gt;0,Loan_Interest_Rate&gt;0,Loan_Term_Years&gt;0),-PMT(Loan_Interest_Rate/12,G10*12,Loan_Amount,0,0),0),0))</f>
        <v>0</v>
      </c>
      <c r="D11" s="141" t="s">
        <v>186</v>
      </c>
      <c r="E11" s="162">
        <f>(ROUNDUP(IF(E8&gt;0,MAX((E8*Credit_Card_Monthly_Payment_Percent),20),0),0))</f>
        <v>0</v>
      </c>
      <c r="F11" s="290" t="s">
        <v>186</v>
      </c>
      <c r="G11" s="193" t="e">
        <f>-D10+Credit_Card_Monthly_Payment</f>
        <v>#NUM!</v>
      </c>
    </row>
    <row r="12" spans="1:12" x14ac:dyDescent="0.25">
      <c r="A12" s="128" t="s">
        <v>171</v>
      </c>
      <c r="B12" s="278">
        <f>IF(C9&gt;SVR,C9,SVR)</f>
        <v>3.8399999999999997E-2</v>
      </c>
      <c r="C12" s="291"/>
      <c r="D12" s="207"/>
      <c r="E12" s="291"/>
      <c r="F12" s="228"/>
      <c r="G12" s="208"/>
    </row>
    <row r="14" spans="1:12" x14ac:dyDescent="0.25">
      <c r="A14" s="10" t="s">
        <v>179</v>
      </c>
      <c r="B14" s="513" t="s">
        <v>187</v>
      </c>
      <c r="C14" s="512"/>
      <c r="D14" s="513" t="s">
        <v>181</v>
      </c>
      <c r="E14" s="512"/>
      <c r="F14" s="511" t="s">
        <v>182</v>
      </c>
      <c r="G14" s="512"/>
    </row>
    <row r="15" spans="1:12" x14ac:dyDescent="0.25">
      <c r="A15" s="515" t="s">
        <v>184</v>
      </c>
      <c r="B15" s="281" t="s">
        <v>73</v>
      </c>
      <c r="C15" s="162">
        <f>SUM(Main!D8:D9)</f>
        <v>0</v>
      </c>
      <c r="D15" s="282" t="s">
        <v>185</v>
      </c>
      <c r="E15" s="162">
        <f>Main!D10</f>
        <v>0</v>
      </c>
      <c r="F15" s="283" t="s">
        <v>73</v>
      </c>
      <c r="G15" s="162">
        <f>C15</f>
        <v>0</v>
      </c>
    </row>
    <row r="16" spans="1:12" x14ac:dyDescent="0.25">
      <c r="A16" s="516"/>
      <c r="B16" s="281" t="s">
        <v>112</v>
      </c>
      <c r="C16" s="284">
        <f>Main!D12</f>
        <v>0</v>
      </c>
      <c r="F16" s="283" t="s">
        <v>112</v>
      </c>
      <c r="G16" s="285">
        <f>IF(H16&lt;HiddenReference!C13,HiddenReference!C13,H16)</f>
        <v>6.8399999999999989E-2</v>
      </c>
      <c r="H16" s="286">
        <f>IF(Main!D13="Variable",C16+Minimum_Servicing_Test_Rate,B19+Minimum_Servicing_Test_Rate)</f>
        <v>6.8399999999999989E-2</v>
      </c>
    </row>
    <row r="17" spans="1:8" ht="13.8" thickBot="1" x14ac:dyDescent="0.3">
      <c r="A17" s="516"/>
      <c r="B17" s="287" t="s">
        <v>107</v>
      </c>
      <c r="C17" s="280">
        <f>Main!D15</f>
        <v>30</v>
      </c>
      <c r="D17" s="192">
        <f>PMT(H16/12,C17*12,C15,0,0)</f>
        <v>0</v>
      </c>
      <c r="F17" s="283" t="s">
        <v>107</v>
      </c>
      <c r="G17" s="280">
        <f>Main!D15</f>
        <v>30</v>
      </c>
    </row>
    <row r="18" spans="1:8" ht="13.8" thickBot="1" x14ac:dyDescent="0.3">
      <c r="A18" s="517"/>
      <c r="B18" s="282" t="s">
        <v>186</v>
      </c>
      <c r="C18" s="289">
        <f>(ROUNDUP(IF(AND(C15&gt;0,C16&gt;0,Loan_Term_Years&gt;0),-PMT(C16/12,G17*12,C15,0,0),0),0))</f>
        <v>0</v>
      </c>
      <c r="D18" s="141" t="s">
        <v>186</v>
      </c>
      <c r="E18" s="162">
        <f>(ROUNDUP(IF(E15&gt;0,MAX((E15*Credit_Card_Monthly_Payment_Percent),20),0),0))</f>
        <v>0</v>
      </c>
      <c r="F18" s="292" t="s">
        <v>186</v>
      </c>
      <c r="G18" s="193">
        <f>-D17+E18</f>
        <v>0</v>
      </c>
    </row>
    <row r="19" spans="1:8" x14ac:dyDescent="0.25">
      <c r="A19" s="128" t="s">
        <v>171</v>
      </c>
      <c r="B19" s="278">
        <f>IF(C16&gt;SVR,C16,SVR)</f>
        <v>3.8399999999999997E-2</v>
      </c>
      <c r="C19" s="291"/>
      <c r="D19" s="207"/>
      <c r="E19" s="291"/>
      <c r="F19" s="228"/>
      <c r="G19" s="208"/>
    </row>
    <row r="21" spans="1:8" x14ac:dyDescent="0.25">
      <c r="A21" s="10" t="s">
        <v>179</v>
      </c>
      <c r="B21" s="513" t="s">
        <v>188</v>
      </c>
      <c r="C21" s="512"/>
      <c r="D21" s="513" t="s">
        <v>181</v>
      </c>
      <c r="E21" s="512"/>
      <c r="F21" s="511" t="s">
        <v>182</v>
      </c>
      <c r="G21" s="512"/>
    </row>
    <row r="22" spans="1:8" x14ac:dyDescent="0.25">
      <c r="A22" s="515" t="s">
        <v>184</v>
      </c>
      <c r="B22" s="281" t="s">
        <v>73</v>
      </c>
      <c r="C22" s="162">
        <f>SUM(Main!E8:E9)</f>
        <v>0</v>
      </c>
      <c r="D22" s="282" t="s">
        <v>185</v>
      </c>
      <c r="E22" s="162">
        <f>Main!E10</f>
        <v>0</v>
      </c>
      <c r="F22" s="283" t="s">
        <v>73</v>
      </c>
      <c r="G22" s="162">
        <f>C22</f>
        <v>0</v>
      </c>
    </row>
    <row r="23" spans="1:8" x14ac:dyDescent="0.25">
      <c r="A23" s="516"/>
      <c r="B23" s="281" t="s">
        <v>112</v>
      </c>
      <c r="C23" s="284">
        <f>Main!E12</f>
        <v>0</v>
      </c>
      <c r="F23" s="283" t="s">
        <v>112</v>
      </c>
      <c r="G23" s="285">
        <f>IF(H23&lt;HiddenReference!C13,HiddenReference!C13,H23)</f>
        <v>6.8399999999999989E-2</v>
      </c>
      <c r="H23" s="286">
        <f>IF(Main!E13="Variable",C23+Minimum_Servicing_Test_Rate,B26+Minimum_Servicing_Test_Rate)</f>
        <v>6.8399999999999989E-2</v>
      </c>
    </row>
    <row r="24" spans="1:8" ht="13.8" thickBot="1" x14ac:dyDescent="0.3">
      <c r="A24" s="516"/>
      <c r="B24" s="287" t="s">
        <v>107</v>
      </c>
      <c r="C24" s="280">
        <f>Main!E15</f>
        <v>30</v>
      </c>
      <c r="D24" s="192">
        <f>PMT(H23/12,C24*12,C22,0,0)</f>
        <v>0</v>
      </c>
      <c r="F24" s="283" t="s">
        <v>107</v>
      </c>
      <c r="G24" s="280">
        <f>Main!E15</f>
        <v>30</v>
      </c>
    </row>
    <row r="25" spans="1:8" ht="13.8" thickBot="1" x14ac:dyDescent="0.3">
      <c r="A25" s="517"/>
      <c r="B25" s="282" t="s">
        <v>186</v>
      </c>
      <c r="C25" s="289">
        <f>(ROUNDUP(IF(AND(C22&gt;0,C23&gt;0,Loan_Term_Years&gt;0),-PMT(C23/12,G24*12,C22,0,0),0),0))</f>
        <v>0</v>
      </c>
      <c r="D25" s="141" t="s">
        <v>186</v>
      </c>
      <c r="E25" s="162">
        <f>(ROUNDUP(IF(E22&gt;0,MAX((E22*Credit_Card_Monthly_Payment_Percent),20),0),0))</f>
        <v>0</v>
      </c>
      <c r="F25" s="292" t="s">
        <v>186</v>
      </c>
      <c r="G25" s="193">
        <f>-D24+E25</f>
        <v>0</v>
      </c>
    </row>
    <row r="26" spans="1:8" x14ac:dyDescent="0.25">
      <c r="A26" s="128" t="s">
        <v>171</v>
      </c>
      <c r="B26" s="278">
        <f>IF(C23&gt;SVR,C23,SVR)</f>
        <v>3.8399999999999997E-2</v>
      </c>
      <c r="C26" s="291"/>
      <c r="D26" s="207"/>
      <c r="E26" s="291"/>
      <c r="F26" s="228"/>
      <c r="G26" s="208"/>
    </row>
    <row r="28" spans="1:8" x14ac:dyDescent="0.25">
      <c r="C28" s="177" t="s">
        <v>189</v>
      </c>
      <c r="D28" s="177" t="s">
        <v>190</v>
      </c>
      <c r="E28" s="177" t="s">
        <v>191</v>
      </c>
    </row>
    <row r="29" spans="1:8" x14ac:dyDescent="0.25">
      <c r="A29" s="514" t="s">
        <v>192</v>
      </c>
      <c r="B29" s="510"/>
      <c r="C29" s="293">
        <f>Credit_Card_Monthly_Percent</f>
        <v>3.2000000000000001E-2</v>
      </c>
      <c r="D29" s="293">
        <f>Credit_Card_Monthly_Percent_Amigo</f>
        <v>3.5000000000000003E-2</v>
      </c>
      <c r="E29" s="293">
        <f>Credit_Card_Monthly_Percent_OtherBanks</f>
        <v>3.7499999999999999E-2</v>
      </c>
    </row>
    <row r="30" spans="1:8" ht="13.8" x14ac:dyDescent="0.25">
      <c r="A30" s="514" t="s">
        <v>193</v>
      </c>
      <c r="B30" s="510"/>
      <c r="C30" s="294">
        <f>RentalAllowance</f>
        <v>0.8</v>
      </c>
      <c r="G30" s="172" t="s">
        <v>194</v>
      </c>
      <c r="H30" s="294">
        <f>CompanyRentalAllowance</f>
        <v>0.6</v>
      </c>
    </row>
    <row r="31" spans="1:8" x14ac:dyDescent="0.25">
      <c r="A31" s="509" t="s">
        <v>195</v>
      </c>
      <c r="B31" s="510"/>
      <c r="C31" s="294">
        <f>Overtime_Haircut</f>
        <v>0.2</v>
      </c>
    </row>
    <row r="33" spans="1:9" s="14" customFormat="1" x14ac:dyDescent="0.25">
      <c r="A33" s="11" t="s">
        <v>196</v>
      </c>
      <c r="B33" s="12" t="s">
        <v>133</v>
      </c>
      <c r="C33" s="12" t="s">
        <v>134</v>
      </c>
      <c r="D33" s="12" t="s">
        <v>135</v>
      </c>
      <c r="E33" s="12" t="s">
        <v>136</v>
      </c>
      <c r="F33" s="12" t="s">
        <v>137</v>
      </c>
      <c r="G33" s="13" t="s">
        <v>138</v>
      </c>
      <c r="H33" s="12" t="s">
        <v>197</v>
      </c>
      <c r="I33" s="12" t="s">
        <v>49</v>
      </c>
    </row>
    <row r="34" spans="1:9" x14ac:dyDescent="0.25">
      <c r="A34" s="17" t="s">
        <v>198</v>
      </c>
      <c r="B34" s="16">
        <f>Applicant1_GIncome</f>
        <v>0</v>
      </c>
      <c r="C34" s="16">
        <f>Applicant2_GIncome</f>
        <v>0</v>
      </c>
      <c r="D34" s="16">
        <f>Applicant3_GIncome</f>
        <v>0</v>
      </c>
      <c r="E34" s="16">
        <f>Applicant4_GIncome</f>
        <v>0</v>
      </c>
      <c r="F34" s="16">
        <f>Applicant5_GIncome</f>
        <v>0</v>
      </c>
      <c r="G34" s="16">
        <f>Applicant6_GIncome</f>
        <v>0</v>
      </c>
      <c r="H34" s="16"/>
      <c r="I34" s="16"/>
    </row>
    <row r="35" spans="1:9" x14ac:dyDescent="0.25">
      <c r="A35" s="17" t="s">
        <v>199</v>
      </c>
      <c r="B35" s="16" t="str">
        <f>IF(Applicant1_IncFreq="","",VLOOKUP(Applicant1_IncFreq,Payment_Frequency_Multiples,2,FALSE))</f>
        <v/>
      </c>
      <c r="C35" s="16" t="str">
        <f>IF(Applicant2_IncFreq="","",VLOOKUP(Applicant2_IncFreq,Payment_Frequency_Multiples,2,FALSE))</f>
        <v/>
      </c>
      <c r="D35" s="16" t="str">
        <f>IF(Applicant3_IncFreq="","",VLOOKUP(Applicant3_IncFreq,Payment_Frequency_Multiples,2,FALSE))</f>
        <v/>
      </c>
      <c r="E35" s="16" t="str">
        <f>IF(Applicant4_IncFreq="","",VLOOKUP(Applicant4_IncFreq,Payment_Frequency_Multiples,2,FALSE))</f>
        <v/>
      </c>
      <c r="F35" s="16" t="str">
        <f>IF(Applicant5_IncFreq="","",VLOOKUP(Applicant5_IncFreq,Payment_Frequency_Multiples,2,FALSE))</f>
        <v/>
      </c>
      <c r="G35" s="16" t="str">
        <f>IF(Applicant6_IncFreq="","",VLOOKUP(Applicant6_IncFreq,Payment_Frequency_Multiples,2,FALSE))</f>
        <v/>
      </c>
      <c r="H35" s="16"/>
      <c r="I35" s="16"/>
    </row>
    <row r="36" spans="1:9" x14ac:dyDescent="0.25">
      <c r="A36" s="17" t="s">
        <v>200</v>
      </c>
      <c r="B36" s="16">
        <f>IF(Applicant1_IncFreq="",0,B34*B35)</f>
        <v>0</v>
      </c>
      <c r="C36" s="16">
        <f>IF(Applicant2_IncFreq="",0,C34*C35)</f>
        <v>0</v>
      </c>
      <c r="D36" s="16">
        <f>IF(Applicant3_IncFreq="",0,D34*D35)</f>
        <v>0</v>
      </c>
      <c r="E36" s="16">
        <f>IF(Applicant4_IncFreq="",0,E34*E35)</f>
        <v>0</v>
      </c>
      <c r="F36" s="16">
        <f>IF(Applicant5_IncFreq="",0,F34*F35)</f>
        <v>0</v>
      </c>
      <c r="G36" s="16">
        <f>IF(Applicant6_IncFreq="",0,G34*G35)</f>
        <v>0</v>
      </c>
      <c r="H36" s="16"/>
      <c r="I36" s="16">
        <f>SUM(B36:H36)</f>
        <v>0</v>
      </c>
    </row>
    <row r="37" spans="1:9" x14ac:dyDescent="0.25">
      <c r="A37" s="17" t="s">
        <v>201</v>
      </c>
      <c r="B37" s="162">
        <f>IF(Appl_Annual_Income_inc_Overtime_1&gt;B36,(Appl_Annual_Income_inc_Overtime_1-B36)*(1-Overtime_Haircut),0)</f>
        <v>0</v>
      </c>
      <c r="C37" s="16">
        <f>IF(Appl_Annual_Income_inc_Overtime_2&gt;C36,(Appl_Annual_Income_inc_Overtime_2-C36)*(1-Overtime_Haircut),0)</f>
        <v>0</v>
      </c>
      <c r="D37" s="16">
        <f>IF(Appl_Annual_Income_inc_Overtime_3&gt;D36,(Appl_Annual_Income_inc_Overtime_3-D36)*(1-Overtime_Haircut),0)</f>
        <v>0</v>
      </c>
      <c r="E37" s="16">
        <f>IF(Appl_Annual_Income_inc_Overtime_4&gt;E36,(Appl_Annual_Income_inc_Overtime_4-E36)*(1-Overtime_Haircut),0)</f>
        <v>0</v>
      </c>
      <c r="F37" s="16">
        <f>IF(Appl_Annual_Income_inc_Overtime_5&gt;F36,(Appl_Annual_Income_inc_Overtime_5-F36)*(1-Overtime_Haircut),0)</f>
        <v>0</v>
      </c>
      <c r="G37" s="16">
        <f>IF(Appl_Annual_Income_inc_Overtime_6&gt;G36,(Appl_Annual_Income_inc_Overtime_6-G36)*(1-Overtime_Haircut),0)</f>
        <v>0</v>
      </c>
      <c r="H37" s="16"/>
      <c r="I37" s="16"/>
    </row>
    <row r="38" spans="1:9" x14ac:dyDescent="0.25">
      <c r="A38" s="15" t="s">
        <v>127</v>
      </c>
      <c r="B38" s="16">
        <f>SUM(B36:B37)</f>
        <v>0</v>
      </c>
      <c r="C38" s="16">
        <f t="shared" ref="C38:G38" si="0">SUM(C36:C37)</f>
        <v>0</v>
      </c>
      <c r="D38" s="16">
        <f t="shared" si="0"/>
        <v>0</v>
      </c>
      <c r="E38" s="16">
        <f t="shared" si="0"/>
        <v>0</v>
      </c>
      <c r="F38" s="16">
        <f t="shared" si="0"/>
        <v>0</v>
      </c>
      <c r="G38" s="16">
        <f t="shared" si="0"/>
        <v>0</v>
      </c>
      <c r="H38" s="16"/>
      <c r="I38" s="16">
        <f>SUM(B38:H38)</f>
        <v>0</v>
      </c>
    </row>
    <row r="39" spans="1:9" x14ac:dyDescent="0.25">
      <c r="A39" s="15" t="str">
        <f>+TEXT(RentalAllowance,"##0.00%")&amp;" Gross Annual Rental Income"</f>
        <v>80.00% Gross Annual Rental Income</v>
      </c>
      <c r="B39" s="16">
        <f>ROUND(Applicant1_GARental*RentalAllowance,0)</f>
        <v>0</v>
      </c>
      <c r="C39" s="16">
        <f>ROUND(Applicant2_GARental*RentalAllowance,0)</f>
        <v>0</v>
      </c>
      <c r="D39" s="16">
        <f>ROUND(Applicant3_GARental*RentalAllowance,0)</f>
        <v>0</v>
      </c>
      <c r="E39" s="16">
        <f>ROUND(Applicant4_GARental*RentalAllowance,0)</f>
        <v>0</v>
      </c>
      <c r="F39" s="16">
        <f>ROUND(Applicant5_GARental*RentalAllowance,0)</f>
        <v>0</v>
      </c>
      <c r="G39" s="16">
        <f>ROUND(Applicant6_GARental*RentalAllowance,0)</f>
        <v>0</v>
      </c>
      <c r="H39" s="16"/>
      <c r="I39" s="16">
        <f>SUM(B39:H39)</f>
        <v>0</v>
      </c>
    </row>
    <row r="40" spans="1:9" x14ac:dyDescent="0.25">
      <c r="A40" s="17" t="s">
        <v>202</v>
      </c>
      <c r="B40" s="162">
        <f t="shared" ref="B40:G40" si="1">SUM(B38:B39)</f>
        <v>0</v>
      </c>
      <c r="C40" s="162">
        <f t="shared" si="1"/>
        <v>0</v>
      </c>
      <c r="D40" s="162">
        <f t="shared" si="1"/>
        <v>0</v>
      </c>
      <c r="E40" s="162">
        <f t="shared" si="1"/>
        <v>0</v>
      </c>
      <c r="F40" s="162">
        <f t="shared" si="1"/>
        <v>0</v>
      </c>
      <c r="G40" s="162">
        <f t="shared" si="1"/>
        <v>0</v>
      </c>
      <c r="H40" s="16"/>
      <c r="I40" s="162">
        <f>SUM(B40:H40)</f>
        <v>0</v>
      </c>
    </row>
    <row r="41" spans="1:9" x14ac:dyDescent="0.25">
      <c r="A41" s="17"/>
      <c r="B41" s="18"/>
      <c r="C41" s="18"/>
      <c r="D41" s="18"/>
      <c r="E41" s="18"/>
      <c r="F41" s="18"/>
      <c r="G41" s="18"/>
      <c r="H41" s="16"/>
      <c r="I41" s="18"/>
    </row>
    <row r="42" spans="1:9" x14ac:dyDescent="0.25">
      <c r="A42" s="17" t="s">
        <v>203</v>
      </c>
      <c r="B42" s="19">
        <f>IF(Main!$F$41&gt;0,ROUND(B39/(Main!$F$41*RentalAllowance),4),0)</f>
        <v>0</v>
      </c>
      <c r="C42" s="19">
        <f>IF(Main!$F$41&gt;0,ROUND(C39/(Main!$F$41*RentalAllowance),4),0)</f>
        <v>0</v>
      </c>
      <c r="D42" s="19">
        <f>IF(Main!$F$41&gt;0,ROUND(D39/(Main!$F$41*RentalAllowance),4),0)</f>
        <v>0</v>
      </c>
      <c r="E42" s="19">
        <f>IF(Main!$F$41&gt;0,ROUND(E39/(Main!$F$41*RentalAllowance),4),0)</f>
        <v>0</v>
      </c>
      <c r="F42" s="19">
        <f>IF(Main!$F$41&gt;0,ROUND(F39/(Main!$F$41*RentalAllowance),4),0)</f>
        <v>0</v>
      </c>
      <c r="G42" s="19">
        <f>IF(Main!$F$41&gt;0,ROUND(G39/(Main!$F$41*RentalAllowance),4),0)</f>
        <v>0</v>
      </c>
      <c r="H42" s="19">
        <f>IF(Main!$F$41&gt;0,ROUND(H39/(Main!$F$41*CompanyRentalAllowance),4),0)</f>
        <v>0</v>
      </c>
      <c r="I42" s="19">
        <f>SUM(B42:H42)</f>
        <v>0</v>
      </c>
    </row>
    <row r="43" spans="1:9" x14ac:dyDescent="0.25">
      <c r="A43" s="15"/>
      <c r="B43" s="16"/>
      <c r="C43" s="16"/>
      <c r="D43" s="16"/>
      <c r="E43" s="16"/>
      <c r="F43" s="16"/>
      <c r="G43" s="16"/>
      <c r="H43" s="16"/>
      <c r="I43" s="16"/>
    </row>
    <row r="44" spans="1:9" x14ac:dyDescent="0.25">
      <c r="A44" s="43" t="s">
        <v>204</v>
      </c>
      <c r="B44" s="295">
        <f>IF(B39&gt;0,ROUND(IPMT(Loan_Interest_Rate,1,Loan_Term_Years*12,Main!$B$9*B42,0,0),0),0)</f>
        <v>0</v>
      </c>
      <c r="C44" s="295">
        <f>IF(C39&gt;0,ROUND(IPMT(Loan_Interest_Rate,1,Loan_Term_Years*12,Main!$B$9*C42,0,0),0),0)</f>
        <v>0</v>
      </c>
      <c r="D44" s="295">
        <f>IF(D39&gt;0,ROUND(IPMT(Loan_Interest_Rate,1,Loan_Term_Years*12,Main!$B$9*D42,0,0),0),0)</f>
        <v>0</v>
      </c>
      <c r="E44" s="295">
        <f>IF(E39&gt;0,ROUND(IPMT(Loan_Interest_Rate,1,Loan_Term_Years*12,Main!$B$9*E42,0,0),0),0)</f>
        <v>0</v>
      </c>
      <c r="F44" s="295">
        <f>IF(F39&gt;0,ROUND(IPMT(Loan_Interest_Rate,1,Loan_Term_Years*12,Main!$B$9*F42,0,0),0),0)</f>
        <v>0</v>
      </c>
      <c r="G44" s="295">
        <f>IF(G39&gt;0,ROUND(IPMT(Loan_Interest_Rate,1,Loan_Term_Years*12,Main!$B$9*G42,0,0),0),0)</f>
        <v>0</v>
      </c>
      <c r="H44" s="295">
        <f>IF(H39&gt;0,ROUND(IPMT(Loan_Interest_Rate,1,Loan_Term_Years*12,Main!$B$9*H42,0,0),0),0)</f>
        <v>0</v>
      </c>
      <c r="I44" s="295">
        <f>SUM(B44:H44)</f>
        <v>0</v>
      </c>
    </row>
    <row r="45" spans="1:9" x14ac:dyDescent="0.25">
      <c r="A45" s="43" t="s">
        <v>205</v>
      </c>
      <c r="B45" s="295">
        <f t="shared" ref="B45:H45" si="2">IF(B39&gt;0,ROUND(MAX(-Other_Loans_Inv_Payment*12*B42,IPMT(Loan_Interest_Rate,1,30,Other_Loans_Inv_Amount*B42,0,0)),0),0)</f>
        <v>0</v>
      </c>
      <c r="C45" s="295">
        <f t="shared" si="2"/>
        <v>0</v>
      </c>
      <c r="D45" s="295">
        <f t="shared" si="2"/>
        <v>0</v>
      </c>
      <c r="E45" s="295">
        <f t="shared" si="2"/>
        <v>0</v>
      </c>
      <c r="F45" s="295">
        <f t="shared" si="2"/>
        <v>0</v>
      </c>
      <c r="G45" s="295">
        <f t="shared" si="2"/>
        <v>0</v>
      </c>
      <c r="H45" s="295">
        <f t="shared" si="2"/>
        <v>0</v>
      </c>
      <c r="I45" s="295">
        <f>SUM(B45:H45)</f>
        <v>0</v>
      </c>
    </row>
    <row r="46" spans="1:9" x14ac:dyDescent="0.25">
      <c r="A46" s="17"/>
      <c r="B46" s="296"/>
      <c r="C46" s="296"/>
      <c r="D46" s="296"/>
      <c r="E46" s="296"/>
      <c r="F46" s="296"/>
      <c r="G46" s="296"/>
      <c r="H46" s="16"/>
      <c r="I46" s="296"/>
    </row>
    <row r="47" spans="1:9" x14ac:dyDescent="0.25">
      <c r="A47" s="15" t="s">
        <v>206</v>
      </c>
      <c r="B47" s="16">
        <f>B40-B39</f>
        <v>0</v>
      </c>
      <c r="C47" s="16">
        <f t="shared" ref="C47:I47" si="3">C40-C39</f>
        <v>0</v>
      </c>
      <c r="D47" s="16">
        <f t="shared" si="3"/>
        <v>0</v>
      </c>
      <c r="E47" s="16">
        <f t="shared" si="3"/>
        <v>0</v>
      </c>
      <c r="F47" s="16">
        <f t="shared" si="3"/>
        <v>0</v>
      </c>
      <c r="G47" s="16">
        <f t="shared" si="3"/>
        <v>0</v>
      </c>
      <c r="H47" s="16"/>
      <c r="I47" s="16">
        <f t="shared" si="3"/>
        <v>0</v>
      </c>
    </row>
    <row r="48" spans="1:9" x14ac:dyDescent="0.25">
      <c r="A48" s="15"/>
      <c r="B48" s="16"/>
      <c r="C48" s="16"/>
      <c r="D48" s="16"/>
      <c r="E48" s="16"/>
      <c r="F48" s="16"/>
      <c r="G48" s="16"/>
      <c r="H48" s="16"/>
      <c r="I48" s="16"/>
    </row>
    <row r="49" spans="1:19" x14ac:dyDescent="0.25">
      <c r="A49" s="15" t="s">
        <v>207</v>
      </c>
      <c r="B49" s="16">
        <f t="shared" ref="B49:G49" si="4">IF(B47&gt;0,VLOOKUP(B47,TaxScales,1),0)</f>
        <v>0</v>
      </c>
      <c r="C49" s="16">
        <f t="shared" si="4"/>
        <v>0</v>
      </c>
      <c r="D49" s="16">
        <f t="shared" si="4"/>
        <v>0</v>
      </c>
      <c r="E49" s="16">
        <f t="shared" si="4"/>
        <v>0</v>
      </c>
      <c r="F49" s="16">
        <f t="shared" si="4"/>
        <v>0</v>
      </c>
      <c r="G49" s="16">
        <f t="shared" si="4"/>
        <v>0</v>
      </c>
      <c r="H49" s="20"/>
      <c r="I49" s="16">
        <f>SUM(B49:H49)</f>
        <v>0</v>
      </c>
    </row>
    <row r="50" spans="1:19" x14ac:dyDescent="0.25">
      <c r="A50" s="15" t="s">
        <v>208</v>
      </c>
      <c r="B50" s="16">
        <f t="shared" ref="B50:G50" si="5">IF(B47&gt;0,VLOOKUP(B47,TaxScales,2),0)</f>
        <v>0</v>
      </c>
      <c r="C50" s="16">
        <f t="shared" si="5"/>
        <v>0</v>
      </c>
      <c r="D50" s="16">
        <f t="shared" si="5"/>
        <v>0</v>
      </c>
      <c r="E50" s="16">
        <f t="shared" si="5"/>
        <v>0</v>
      </c>
      <c r="F50" s="16">
        <f t="shared" si="5"/>
        <v>0</v>
      </c>
      <c r="G50" s="16">
        <f t="shared" si="5"/>
        <v>0</v>
      </c>
      <c r="H50" s="20"/>
      <c r="I50" s="16">
        <f>SUM(B50:H50)</f>
        <v>0</v>
      </c>
    </row>
    <row r="51" spans="1:19" x14ac:dyDescent="0.25">
      <c r="A51" s="15" t="s">
        <v>209</v>
      </c>
      <c r="B51" s="16">
        <f t="shared" ref="B51:G51" si="6">IF(B47&gt;0,B47-B49,0)</f>
        <v>0</v>
      </c>
      <c r="C51" s="16">
        <f t="shared" si="6"/>
        <v>0</v>
      </c>
      <c r="D51" s="16">
        <f t="shared" si="6"/>
        <v>0</v>
      </c>
      <c r="E51" s="16">
        <f t="shared" si="6"/>
        <v>0</v>
      </c>
      <c r="F51" s="16">
        <f t="shared" si="6"/>
        <v>0</v>
      </c>
      <c r="G51" s="16">
        <f t="shared" si="6"/>
        <v>0</v>
      </c>
      <c r="H51" s="20"/>
      <c r="I51" s="16">
        <f>SUM(B51:H51)</f>
        <v>0</v>
      </c>
    </row>
    <row r="52" spans="1:19" x14ac:dyDescent="0.25">
      <c r="A52" s="15" t="s">
        <v>210</v>
      </c>
      <c r="B52" s="19">
        <f t="shared" ref="B52:G52" si="7">IF(B47&gt;0,VLOOKUP(B47,TaxScales,3),0)</f>
        <v>0</v>
      </c>
      <c r="C52" s="19">
        <f t="shared" si="7"/>
        <v>0</v>
      </c>
      <c r="D52" s="19">
        <f t="shared" si="7"/>
        <v>0</v>
      </c>
      <c r="E52" s="19">
        <f t="shared" si="7"/>
        <v>0</v>
      </c>
      <c r="F52" s="19">
        <f t="shared" si="7"/>
        <v>0</v>
      </c>
      <c r="G52" s="19">
        <f t="shared" si="7"/>
        <v>0</v>
      </c>
      <c r="H52" s="21"/>
      <c r="I52" s="20" t="s">
        <v>211</v>
      </c>
    </row>
    <row r="53" spans="1:19" x14ac:dyDescent="0.25">
      <c r="A53" s="15" t="s">
        <v>212</v>
      </c>
      <c r="B53" s="16">
        <f t="shared" ref="B53:G53" si="8">IF(B47&gt;0,ROUND(B51*B52,2),0)</f>
        <v>0</v>
      </c>
      <c r="C53" s="16">
        <f t="shared" si="8"/>
        <v>0</v>
      </c>
      <c r="D53" s="16">
        <f t="shared" si="8"/>
        <v>0</v>
      </c>
      <c r="E53" s="16">
        <f t="shared" si="8"/>
        <v>0</v>
      </c>
      <c r="F53" s="16">
        <f t="shared" si="8"/>
        <v>0</v>
      </c>
      <c r="G53" s="16">
        <f t="shared" si="8"/>
        <v>0</v>
      </c>
      <c r="H53" s="22"/>
      <c r="I53" s="16">
        <f>SUM(B53:H53)</f>
        <v>0</v>
      </c>
    </row>
    <row r="54" spans="1:19" x14ac:dyDescent="0.25">
      <c r="A54" s="15" t="s">
        <v>213</v>
      </c>
      <c r="B54" s="16">
        <f t="shared" ref="B54:G54" si="9">IF(B47&gt;0,ROUND(B50+B53,0),0)</f>
        <v>0</v>
      </c>
      <c r="C54" s="16">
        <f t="shared" si="9"/>
        <v>0</v>
      </c>
      <c r="D54" s="16">
        <f t="shared" si="9"/>
        <v>0</v>
      </c>
      <c r="E54" s="16">
        <f t="shared" si="9"/>
        <v>0</v>
      </c>
      <c r="F54" s="16">
        <f t="shared" si="9"/>
        <v>0</v>
      </c>
      <c r="G54" s="16">
        <f t="shared" si="9"/>
        <v>0</v>
      </c>
      <c r="H54" s="16"/>
      <c r="I54" s="16">
        <f>SUM(B54:H54)</f>
        <v>0</v>
      </c>
    </row>
    <row r="55" spans="1:19" x14ac:dyDescent="0.25">
      <c r="A55" s="15" t="s">
        <v>214</v>
      </c>
      <c r="B55" s="16">
        <f t="shared" ref="B55:G55" si="10">IF(B47&gt;Min_TaxableIncome,ROUND(B47*MedicareLevyRate,0),0)</f>
        <v>0</v>
      </c>
      <c r="C55" s="16">
        <f t="shared" si="10"/>
        <v>0</v>
      </c>
      <c r="D55" s="16">
        <f t="shared" si="10"/>
        <v>0</v>
      </c>
      <c r="E55" s="16">
        <f t="shared" si="10"/>
        <v>0</v>
      </c>
      <c r="F55" s="16">
        <f t="shared" si="10"/>
        <v>0</v>
      </c>
      <c r="G55" s="16">
        <f t="shared" si="10"/>
        <v>0</v>
      </c>
      <c r="H55" s="20"/>
      <c r="I55" s="16">
        <f>SUM(B55:H55)</f>
        <v>0</v>
      </c>
    </row>
    <row r="56" spans="1:19" x14ac:dyDescent="0.25">
      <c r="A56" s="15" t="s">
        <v>215</v>
      </c>
      <c r="B56" s="16">
        <f t="shared" ref="B56:G56" si="11">ROUND(B54+B55,0)</f>
        <v>0</v>
      </c>
      <c r="C56" s="16">
        <f t="shared" si="11"/>
        <v>0</v>
      </c>
      <c r="D56" s="16">
        <f t="shared" si="11"/>
        <v>0</v>
      </c>
      <c r="E56" s="16">
        <f t="shared" si="11"/>
        <v>0</v>
      </c>
      <c r="F56" s="16">
        <f t="shared" si="11"/>
        <v>0</v>
      </c>
      <c r="G56" s="16">
        <f t="shared" si="11"/>
        <v>0</v>
      </c>
      <c r="H56" s="20"/>
      <c r="I56" s="16">
        <f>SUM(B56:H56)</f>
        <v>0</v>
      </c>
    </row>
    <row r="57" spans="1:19" x14ac:dyDescent="0.25">
      <c r="A57" s="15" t="s">
        <v>216</v>
      </c>
      <c r="B57" s="16">
        <f t="shared" ref="B57:G57" si="12">ROUND(B40-B56,0)</f>
        <v>0</v>
      </c>
      <c r="C57" s="16">
        <f t="shared" si="12"/>
        <v>0</v>
      </c>
      <c r="D57" s="16">
        <f t="shared" si="12"/>
        <v>0</v>
      </c>
      <c r="E57" s="16">
        <f t="shared" si="12"/>
        <v>0</v>
      </c>
      <c r="F57" s="16">
        <f t="shared" si="12"/>
        <v>0</v>
      </c>
      <c r="G57" s="16">
        <f t="shared" si="12"/>
        <v>0</v>
      </c>
      <c r="H57" s="16">
        <f>Main!B38*26</f>
        <v>0</v>
      </c>
      <c r="I57" s="16">
        <f>SUM(B57:H57)</f>
        <v>0</v>
      </c>
    </row>
    <row r="58" spans="1:19" x14ac:dyDescent="0.25">
      <c r="A58" s="15" t="s">
        <v>217</v>
      </c>
      <c r="B58" s="16">
        <f t="shared" ref="B58:I58" si="13">B57/12</f>
        <v>0</v>
      </c>
      <c r="C58" s="16">
        <f t="shared" si="13"/>
        <v>0</v>
      </c>
      <c r="D58" s="16">
        <f t="shared" si="13"/>
        <v>0</v>
      </c>
      <c r="E58" s="16">
        <f t="shared" si="13"/>
        <v>0</v>
      </c>
      <c r="F58" s="16">
        <f t="shared" si="13"/>
        <v>0</v>
      </c>
      <c r="G58" s="16">
        <f t="shared" si="13"/>
        <v>0</v>
      </c>
      <c r="H58" s="16">
        <f t="shared" si="13"/>
        <v>0</v>
      </c>
      <c r="I58" s="16">
        <f t="shared" si="13"/>
        <v>0</v>
      </c>
    </row>
    <row r="59" spans="1:19" x14ac:dyDescent="0.25">
      <c r="B59" s="30"/>
      <c r="C59" s="31"/>
    </row>
    <row r="60" spans="1:19" ht="13.8" thickBot="1" x14ac:dyDescent="0.3">
      <c r="A60" s="28" t="s">
        <v>218</v>
      </c>
      <c r="B60" s="28"/>
      <c r="D60" s="25"/>
      <c r="E60" s="25"/>
      <c r="F60" s="25"/>
      <c r="G60" s="25"/>
    </row>
    <row r="61" spans="1:19" ht="13.8" thickBot="1" x14ac:dyDescent="0.3">
      <c r="A61" s="29">
        <f>IF(Total_Gross_Annual_Income=0,0,INDEX(Calculated_Living_Expense_Table,MATCH(((Gross_Annual_Income)-G38),Gross_Annual_Income_Bands,1),MATCH(Main!B6,Applicant_Type,0)))</f>
        <v>0</v>
      </c>
      <c r="B61" s="33"/>
      <c r="D61" s="25"/>
      <c r="E61" s="25"/>
      <c r="F61" s="25"/>
      <c r="G61" s="25"/>
    </row>
    <row r="62" spans="1:19" x14ac:dyDescent="0.25">
      <c r="A62" s="25"/>
      <c r="B62" s="25"/>
      <c r="C62" s="25"/>
      <c r="D62" s="25"/>
      <c r="E62" s="25"/>
      <c r="F62" s="25"/>
      <c r="G62" s="25"/>
    </row>
    <row r="63" spans="1:19" x14ac:dyDescent="0.25">
      <c r="A63" s="25" t="s">
        <v>219</v>
      </c>
      <c r="B63" s="25"/>
      <c r="C63" s="25"/>
      <c r="D63" s="25"/>
      <c r="E63" s="25"/>
      <c r="F63" s="25"/>
      <c r="G63" s="25"/>
    </row>
    <row r="64" spans="1:19" x14ac:dyDescent="0.25">
      <c r="A64" s="27" t="str">
        <f>'HEM Data'!A1&amp;" - "&amp;TEXT('HEM Data'!B1,"mmm yyyy")</f>
        <v>HEM DATA - Q1 2026</v>
      </c>
      <c r="B64" s="24"/>
      <c r="C64" s="24"/>
      <c r="D64" s="24"/>
      <c r="E64" s="24"/>
      <c r="F64" s="24"/>
      <c r="G64" s="24"/>
      <c r="H64" s="24"/>
      <c r="I64" s="24"/>
      <c r="J64" s="24"/>
      <c r="K64" s="24"/>
      <c r="L64" s="24"/>
      <c r="M64" s="24"/>
      <c r="N64" s="24"/>
      <c r="O64" s="24"/>
      <c r="P64" s="24"/>
      <c r="Q64" s="24"/>
      <c r="R64" s="24"/>
      <c r="S64" s="24"/>
    </row>
    <row r="65" spans="1:19" x14ac:dyDescent="0.25">
      <c r="A65" s="25"/>
      <c r="B65" s="25"/>
      <c r="C65" s="25"/>
      <c r="D65" s="25"/>
      <c r="E65" s="25"/>
      <c r="F65"/>
      <c r="G65"/>
      <c r="H65"/>
      <c r="I65"/>
      <c r="J65"/>
      <c r="K65"/>
      <c r="L65"/>
      <c r="M65"/>
      <c r="N65"/>
      <c r="O65"/>
      <c r="P65"/>
      <c r="Q65"/>
      <c r="R65"/>
      <c r="S65"/>
    </row>
    <row r="66" spans="1:19" ht="39.9" customHeight="1" x14ac:dyDescent="0.25">
      <c r="A66" s="152" t="s">
        <v>198</v>
      </c>
      <c r="B66" s="153" t="s">
        <v>220</v>
      </c>
      <c r="C66" s="153" t="s">
        <v>221</v>
      </c>
      <c r="D66" s="154" t="s">
        <v>222</v>
      </c>
      <c r="E66" s="154" t="s">
        <v>223</v>
      </c>
      <c r="F66" s="154" t="s">
        <v>224</v>
      </c>
      <c r="G66" s="154" t="s">
        <v>225</v>
      </c>
      <c r="H66" s="154" t="s">
        <v>226</v>
      </c>
      <c r="I66" s="154" t="s">
        <v>227</v>
      </c>
      <c r="J66" s="154" t="s">
        <v>228</v>
      </c>
      <c r="K66" s="154" t="s">
        <v>229</v>
      </c>
      <c r="L66" s="154" t="s">
        <v>230</v>
      </c>
      <c r="M66" s="154" t="s">
        <v>231</v>
      </c>
      <c r="N66" s="154" t="s">
        <v>232</v>
      </c>
      <c r="O66" s="154" t="s">
        <v>233</v>
      </c>
      <c r="P66" s="154" t="s">
        <v>234</v>
      </c>
      <c r="Q66" s="154" t="s">
        <v>235</v>
      </c>
      <c r="R66" s="154" t="s">
        <v>236</v>
      </c>
      <c r="S66" s="154" t="s">
        <v>237</v>
      </c>
    </row>
    <row r="67" spans="1:19" ht="14.4" x14ac:dyDescent="0.3">
      <c r="A67" s="155">
        <f>'HEM Data'!B2</f>
        <v>0</v>
      </c>
      <c r="B67" s="297">
        <f>ROUND('HEM Data'!$B$8,0)</f>
        <v>1456</v>
      </c>
      <c r="C67" s="297">
        <f>ROUND('HEM Data'!$B$3,0)</f>
        <v>2836</v>
      </c>
      <c r="D67" s="297">
        <f>ROUND('HEM Data'!$B$4,0)</f>
        <v>2836</v>
      </c>
      <c r="E67" s="297">
        <f>ROUND('HEM Data'!$B$5,0)</f>
        <v>2836</v>
      </c>
      <c r="F67" s="297">
        <f>ROUND('HEM Data'!$B$6,0)</f>
        <v>2836</v>
      </c>
      <c r="G67" s="297">
        <f>ROUND('HEM Data'!$B$6,0)</f>
        <v>2836</v>
      </c>
      <c r="H67" s="297">
        <f>ROUND('HEM Data'!$B$6,0)</f>
        <v>2836</v>
      </c>
      <c r="I67" s="297">
        <f>ROUND('HEM Data'!$B$6,0)</f>
        <v>2836</v>
      </c>
      <c r="J67" s="297">
        <f>ROUND('HEM Data'!$B$6,0)</f>
        <v>2836</v>
      </c>
      <c r="K67" s="297">
        <f>ROUND('HEM Data'!$B$6,0)</f>
        <v>2836</v>
      </c>
      <c r="L67" s="297">
        <f>ROUND('HEM Data'!$B$9,0)</f>
        <v>1456</v>
      </c>
      <c r="M67" s="297">
        <f>ROUND('HEM Data'!$B$10,0)</f>
        <v>1456</v>
      </c>
      <c r="N67" s="297">
        <f>ROUND('HEM Data'!$B$11,0)</f>
        <v>1456</v>
      </c>
      <c r="O67" s="297">
        <f>ROUND('HEM Data'!$B$11,0)</f>
        <v>1456</v>
      </c>
      <c r="P67" s="297">
        <f>ROUND('HEM Data'!$B$11,0)</f>
        <v>1456</v>
      </c>
      <c r="Q67" s="297">
        <f>ROUND('HEM Data'!$B$11,0)</f>
        <v>1456</v>
      </c>
      <c r="R67" s="297">
        <f>ROUND('HEM Data'!$B$11,0)</f>
        <v>1456</v>
      </c>
      <c r="S67" s="297">
        <f>ROUND('HEM Data'!$B$11,0)</f>
        <v>1456</v>
      </c>
    </row>
    <row r="68" spans="1:19" ht="14.4" x14ac:dyDescent="0.3">
      <c r="A68" s="155">
        <f>'HEM Data'!C2</f>
        <v>27000</v>
      </c>
      <c r="B68" s="297">
        <f>ROUND('HEM Data'!$C$8,0)</f>
        <v>1534</v>
      </c>
      <c r="C68" s="297">
        <f>ROUND('HEM Data'!$C$3,0)</f>
        <v>2836</v>
      </c>
      <c r="D68" s="297">
        <f>ROUND('HEM Data'!$C$4,0)</f>
        <v>2836</v>
      </c>
      <c r="E68" s="297">
        <f>ROUND('HEM Data'!$C$5,0)</f>
        <v>2836</v>
      </c>
      <c r="F68" s="297">
        <f>ROUND('HEM Data'!$C$6,0)</f>
        <v>2836</v>
      </c>
      <c r="G68" s="297">
        <f>ROUND('HEM Data'!$C$6,0)</f>
        <v>2836</v>
      </c>
      <c r="H68" s="297">
        <f>ROUND('HEM Data'!$C$6,0)</f>
        <v>2836</v>
      </c>
      <c r="I68" s="297">
        <f>ROUND('HEM Data'!$C$6,0)</f>
        <v>2836</v>
      </c>
      <c r="J68" s="297">
        <f>ROUND('HEM Data'!$C$6,0)</f>
        <v>2836</v>
      </c>
      <c r="K68" s="297">
        <f>ROUND('HEM Data'!$C$6,0)</f>
        <v>2836</v>
      </c>
      <c r="L68" s="297">
        <f>ROUND('HEM Data'!$C$9,0)</f>
        <v>1996</v>
      </c>
      <c r="M68" s="297">
        <f>ROUND('HEM Data'!$C$10,0)</f>
        <v>2535</v>
      </c>
      <c r="N68" s="297">
        <f>ROUND('HEM Data'!$C$11,0)</f>
        <v>2535</v>
      </c>
      <c r="O68" s="297">
        <f>ROUND('HEM Data'!$C$11,0)</f>
        <v>2535</v>
      </c>
      <c r="P68" s="297">
        <f>ROUND('HEM Data'!$C$11,0)</f>
        <v>2535</v>
      </c>
      <c r="Q68" s="297">
        <f>ROUND('HEM Data'!$C$11,0)</f>
        <v>2535</v>
      </c>
      <c r="R68" s="297">
        <f>ROUND('HEM Data'!$C$11,0)</f>
        <v>2535</v>
      </c>
      <c r="S68" s="297">
        <f>ROUND('HEM Data'!$C$11,0)</f>
        <v>2535</v>
      </c>
    </row>
    <row r="69" spans="1:19" ht="14.4" x14ac:dyDescent="0.3">
      <c r="A69" s="155">
        <f>'HEM Data'!D2</f>
        <v>41000</v>
      </c>
      <c r="B69" s="297">
        <f>ROUND('HEM Data'!$D$8,0)</f>
        <v>1607</v>
      </c>
      <c r="C69" s="297">
        <f>ROUND('HEM Data'!$D$3,0)</f>
        <v>2911</v>
      </c>
      <c r="D69" s="297">
        <f>ROUND('HEM Data'!$D$4,0)</f>
        <v>3348</v>
      </c>
      <c r="E69" s="297">
        <f>ROUND('HEM Data'!$D$5,0)</f>
        <v>3702</v>
      </c>
      <c r="F69" s="297">
        <f>ROUND('HEM Data'!$D$6,0)</f>
        <v>3702</v>
      </c>
      <c r="G69" s="297">
        <f>ROUND('HEM Data'!$D$6,0)</f>
        <v>3702</v>
      </c>
      <c r="H69" s="297">
        <f>ROUND('HEM Data'!$D$6,0)</f>
        <v>3702</v>
      </c>
      <c r="I69" s="297">
        <f>ROUND('HEM Data'!$D$6,0)</f>
        <v>3702</v>
      </c>
      <c r="J69" s="297">
        <f>ROUND('HEM Data'!$D$6,0)</f>
        <v>3702</v>
      </c>
      <c r="K69" s="297">
        <f>ROUND('HEM Data'!$D$6,0)</f>
        <v>3702</v>
      </c>
      <c r="L69" s="297">
        <f>ROUND('HEM Data'!$D$9,0)</f>
        <v>2069</v>
      </c>
      <c r="M69" s="297">
        <f>ROUND('HEM Data'!$D$10,0)</f>
        <v>2608</v>
      </c>
      <c r="N69" s="297">
        <f>ROUND('HEM Data'!$D$11,0)</f>
        <v>3148</v>
      </c>
      <c r="O69" s="297">
        <f>ROUND('HEM Data'!$D$11,0)</f>
        <v>3148</v>
      </c>
      <c r="P69" s="297">
        <f>ROUND('HEM Data'!$D$11,0)</f>
        <v>3148</v>
      </c>
      <c r="Q69" s="297">
        <f>ROUND('HEM Data'!$D$11,0)</f>
        <v>3148</v>
      </c>
      <c r="R69" s="297">
        <f>ROUND('HEM Data'!$D$11,0)</f>
        <v>3148</v>
      </c>
      <c r="S69" s="297">
        <f>ROUND('HEM Data'!$D$11,0)</f>
        <v>3148</v>
      </c>
    </row>
    <row r="70" spans="1:19" ht="14.4" x14ac:dyDescent="0.3">
      <c r="A70" s="155">
        <f>'HEM Data'!E2</f>
        <v>54000</v>
      </c>
      <c r="B70" s="297">
        <f>ROUND('HEM Data'!$E$8,0)</f>
        <v>1715</v>
      </c>
      <c r="C70" s="297">
        <f>ROUND('HEM Data'!$E$3,0)</f>
        <v>3020</v>
      </c>
      <c r="D70" s="297">
        <f>ROUND('HEM Data'!$E$4,0)</f>
        <v>3457</v>
      </c>
      <c r="E70" s="297">
        <f>ROUND('HEM Data'!$E$5,0)</f>
        <v>3811</v>
      </c>
      <c r="F70" s="297">
        <f>ROUND('HEM Data'!$E$6,0)</f>
        <v>4111</v>
      </c>
      <c r="G70" s="297">
        <f>ROUND('HEM Data'!$E$6,0)</f>
        <v>4111</v>
      </c>
      <c r="H70" s="297">
        <f>ROUND('HEM Data'!$E$6,0)</f>
        <v>4111</v>
      </c>
      <c r="I70" s="297">
        <f>ROUND('HEM Data'!$E$6,0)</f>
        <v>4111</v>
      </c>
      <c r="J70" s="297">
        <f>ROUND('HEM Data'!$E$6,0)</f>
        <v>4111</v>
      </c>
      <c r="K70" s="297">
        <f>ROUND('HEM Data'!$E$6,0)</f>
        <v>4111</v>
      </c>
      <c r="L70" s="297">
        <f>ROUND('HEM Data'!$E$9,0)</f>
        <v>2176</v>
      </c>
      <c r="M70" s="297">
        <f>ROUND('HEM Data'!$E$10,0)</f>
        <v>2715</v>
      </c>
      <c r="N70" s="297">
        <f>ROUND('HEM Data'!$E$11,0)</f>
        <v>3255</v>
      </c>
      <c r="O70" s="297">
        <f>ROUND('HEM Data'!$E$11,0)</f>
        <v>3255</v>
      </c>
      <c r="P70" s="297">
        <f>ROUND('HEM Data'!$E$11,0)</f>
        <v>3255</v>
      </c>
      <c r="Q70" s="297">
        <f>ROUND('HEM Data'!$E$11,0)</f>
        <v>3255</v>
      </c>
      <c r="R70" s="297">
        <f>ROUND('HEM Data'!$E$11,0)</f>
        <v>3255</v>
      </c>
      <c r="S70" s="297">
        <f>ROUND('HEM Data'!$E$11,0)</f>
        <v>3255</v>
      </c>
    </row>
    <row r="71" spans="1:19" ht="14.4" x14ac:dyDescent="0.3">
      <c r="A71" s="155">
        <f>'HEM Data'!F2</f>
        <v>68000</v>
      </c>
      <c r="B71" s="297">
        <f>ROUND('HEM Data'!$F$8,0)</f>
        <v>1911</v>
      </c>
      <c r="C71" s="297">
        <f>ROUND('HEM Data'!$F$3,0)</f>
        <v>3218</v>
      </c>
      <c r="D71" s="297">
        <f>ROUND('HEM Data'!$F$4,0)</f>
        <v>3655</v>
      </c>
      <c r="E71" s="297">
        <f>ROUND('HEM Data'!$F$5,0)</f>
        <v>4010</v>
      </c>
      <c r="F71" s="297">
        <f>ROUND('HEM Data'!$F$6,0)</f>
        <v>4310</v>
      </c>
      <c r="G71" s="297">
        <f>ROUND('HEM Data'!$F$6,0)</f>
        <v>4310</v>
      </c>
      <c r="H71" s="297">
        <f>ROUND('HEM Data'!$F$6,0)</f>
        <v>4310</v>
      </c>
      <c r="I71" s="297">
        <f>ROUND('HEM Data'!$F$6,0)</f>
        <v>4310</v>
      </c>
      <c r="J71" s="297">
        <f>ROUND('HEM Data'!$F$6,0)</f>
        <v>4310</v>
      </c>
      <c r="K71" s="297">
        <f>ROUND('HEM Data'!$F$6,0)</f>
        <v>4310</v>
      </c>
      <c r="L71" s="297">
        <f>ROUND('HEM Data'!$F$9,0)</f>
        <v>2371</v>
      </c>
      <c r="M71" s="297">
        <f>ROUND('HEM Data'!$F$10,0)</f>
        <v>2910</v>
      </c>
      <c r="N71" s="297">
        <f>ROUND('HEM Data'!$F$11,0)</f>
        <v>3450</v>
      </c>
      <c r="O71" s="297">
        <f>ROUND('HEM Data'!$F$11,0)</f>
        <v>3450</v>
      </c>
      <c r="P71" s="297">
        <f>ROUND('HEM Data'!$F$11,0)</f>
        <v>3450</v>
      </c>
      <c r="Q71" s="297">
        <f>ROUND('HEM Data'!$F$11,0)</f>
        <v>3450</v>
      </c>
      <c r="R71" s="297">
        <f>ROUND('HEM Data'!$F$11,0)</f>
        <v>3450</v>
      </c>
      <c r="S71" s="297">
        <f>ROUND('HEM Data'!$F$11,0)</f>
        <v>3450</v>
      </c>
    </row>
    <row r="72" spans="1:19" ht="14.4" x14ac:dyDescent="0.3">
      <c r="A72" s="155">
        <f>'HEM Data'!G2</f>
        <v>82000</v>
      </c>
      <c r="B72" s="297">
        <f>ROUND('HEM Data'!$G$8,0)</f>
        <v>2182</v>
      </c>
      <c r="C72" s="297">
        <f>ROUND('HEM Data'!$G$3,0)</f>
        <v>3491</v>
      </c>
      <c r="D72" s="297">
        <f>ROUND('HEM Data'!$G$4,0)</f>
        <v>3928</v>
      </c>
      <c r="E72" s="297">
        <f>ROUND('HEM Data'!$G$5,0)</f>
        <v>4284</v>
      </c>
      <c r="F72" s="297">
        <f>ROUND('HEM Data'!$G$6,0)</f>
        <v>4585</v>
      </c>
      <c r="G72" s="297">
        <f>ROUND('HEM Data'!$G$6,0)</f>
        <v>4585</v>
      </c>
      <c r="H72" s="297">
        <f>ROUND('HEM Data'!$G$6,0)</f>
        <v>4585</v>
      </c>
      <c r="I72" s="297">
        <f>ROUND('HEM Data'!$G$6,0)</f>
        <v>4585</v>
      </c>
      <c r="J72" s="297">
        <f>ROUND('HEM Data'!$G$6,0)</f>
        <v>4585</v>
      </c>
      <c r="K72" s="297">
        <f>ROUND('HEM Data'!$G$6,0)</f>
        <v>4585</v>
      </c>
      <c r="L72" s="297">
        <f>ROUND('HEM Data'!$G$9,0)</f>
        <v>2640</v>
      </c>
      <c r="M72" s="297">
        <f>ROUND('HEM Data'!$G$10,0)</f>
        <v>3180</v>
      </c>
      <c r="N72" s="297">
        <f>ROUND('HEM Data'!$G$11,0)</f>
        <v>3720</v>
      </c>
      <c r="O72" s="297">
        <f>ROUND('HEM Data'!$G$11,0)</f>
        <v>3720</v>
      </c>
      <c r="P72" s="297">
        <f>ROUND('HEM Data'!$G$11,0)</f>
        <v>3720</v>
      </c>
      <c r="Q72" s="297">
        <f>ROUND('HEM Data'!$G$11,0)</f>
        <v>3720</v>
      </c>
      <c r="R72" s="297">
        <f>ROUND('HEM Data'!$G$11,0)</f>
        <v>3720</v>
      </c>
      <c r="S72" s="297">
        <f>ROUND('HEM Data'!$G$11,0)</f>
        <v>3720</v>
      </c>
    </row>
    <row r="73" spans="1:19" ht="14.4" x14ac:dyDescent="0.3">
      <c r="A73" s="155">
        <f>'HEM Data'!H2</f>
        <v>109000</v>
      </c>
      <c r="B73" s="297">
        <f>ROUND('HEM Data'!$H$8,0)</f>
        <v>2575</v>
      </c>
      <c r="C73" s="297">
        <f>ROUND('HEM Data'!$H$3,0)</f>
        <v>3888</v>
      </c>
      <c r="D73" s="297">
        <f>ROUND('HEM Data'!$H$4,0)</f>
        <v>4324</v>
      </c>
      <c r="E73" s="297">
        <f>ROUND('HEM Data'!$H$5,0)</f>
        <v>4682</v>
      </c>
      <c r="F73" s="297">
        <f>ROUND('HEM Data'!$H$6,0)</f>
        <v>4985</v>
      </c>
      <c r="G73" s="297">
        <f>ROUND('HEM Data'!$H$6,0)</f>
        <v>4985</v>
      </c>
      <c r="H73" s="297">
        <f>ROUND('HEM Data'!$H$6,0)</f>
        <v>4985</v>
      </c>
      <c r="I73" s="297">
        <f>ROUND('HEM Data'!$H$6,0)</f>
        <v>4985</v>
      </c>
      <c r="J73" s="297">
        <f>ROUND('HEM Data'!$H$6,0)</f>
        <v>4985</v>
      </c>
      <c r="K73" s="297">
        <f>ROUND('HEM Data'!$H$6,0)</f>
        <v>4985</v>
      </c>
      <c r="L73" s="297">
        <f>ROUND('HEM Data'!$H$9,0)</f>
        <v>3031</v>
      </c>
      <c r="M73" s="297">
        <f>ROUND('HEM Data'!$H$10,0)</f>
        <v>3571</v>
      </c>
      <c r="N73" s="297">
        <f>ROUND('HEM Data'!$H$11,0)</f>
        <v>4111</v>
      </c>
      <c r="O73" s="297">
        <f>ROUND('HEM Data'!$H$11,0)</f>
        <v>4111</v>
      </c>
      <c r="P73" s="297">
        <f>ROUND('HEM Data'!$H$11,0)</f>
        <v>4111</v>
      </c>
      <c r="Q73" s="297">
        <f>ROUND('HEM Data'!$H$11,0)</f>
        <v>4111</v>
      </c>
      <c r="R73" s="297">
        <f>ROUND('HEM Data'!$H$11,0)</f>
        <v>4111</v>
      </c>
      <c r="S73" s="297">
        <f>ROUND('HEM Data'!$H$11,0)</f>
        <v>4111</v>
      </c>
    </row>
    <row r="74" spans="1:19" ht="14.4" x14ac:dyDescent="0.3">
      <c r="A74" s="155">
        <f>'HEM Data'!I2</f>
        <v>136000</v>
      </c>
      <c r="B74" s="297">
        <f>ROUND('HEM Data'!$I$8,0)</f>
        <v>2909</v>
      </c>
      <c r="C74" s="297">
        <f>ROUND('HEM Data'!$I$3,0)</f>
        <v>4225</v>
      </c>
      <c r="D74" s="297">
        <f>ROUND('HEM Data'!$I$4,0)</f>
        <v>4661</v>
      </c>
      <c r="E74" s="297">
        <f>ROUND('HEM Data'!$I$5,0)</f>
        <v>5020</v>
      </c>
      <c r="F74" s="297">
        <f>ROUND('HEM Data'!$I$6,0)</f>
        <v>5324</v>
      </c>
      <c r="G74" s="297">
        <f>ROUND('HEM Data'!$I$6,0)</f>
        <v>5324</v>
      </c>
      <c r="H74" s="297">
        <f>ROUND('HEM Data'!$I$6,0)</f>
        <v>5324</v>
      </c>
      <c r="I74" s="297">
        <f>ROUND('HEM Data'!$I$6,0)</f>
        <v>5324</v>
      </c>
      <c r="J74" s="297">
        <f>ROUND('HEM Data'!$I$6,0)</f>
        <v>5324</v>
      </c>
      <c r="K74" s="297">
        <f>ROUND('HEM Data'!$I$6,0)</f>
        <v>5324</v>
      </c>
      <c r="L74" s="297">
        <f>ROUND('HEM Data'!$I$9,0)</f>
        <v>3363</v>
      </c>
      <c r="M74" s="297">
        <f>ROUND('HEM Data'!$I$10,0)</f>
        <v>3903</v>
      </c>
      <c r="N74" s="297">
        <f>ROUND('HEM Data'!$I$11,0)</f>
        <v>4443</v>
      </c>
      <c r="O74" s="297">
        <f>ROUND('HEM Data'!$I$11,0)</f>
        <v>4443</v>
      </c>
      <c r="P74" s="297">
        <f>ROUND('HEM Data'!$I$11,0)</f>
        <v>4443</v>
      </c>
      <c r="Q74" s="297">
        <f>ROUND('HEM Data'!$I$11,0)</f>
        <v>4443</v>
      </c>
      <c r="R74" s="297">
        <f>ROUND('HEM Data'!$I$11,0)</f>
        <v>4443</v>
      </c>
      <c r="S74" s="297">
        <f>ROUND('HEM Data'!$I$11,0)</f>
        <v>4443</v>
      </c>
    </row>
    <row r="75" spans="1:19" ht="14.4" x14ac:dyDescent="0.3">
      <c r="A75" s="155">
        <f>'HEM Data'!J2</f>
        <v>163000</v>
      </c>
      <c r="B75" s="297">
        <f>ROUND('HEM Data'!$J$8,0)</f>
        <v>3310</v>
      </c>
      <c r="C75" s="297">
        <f>ROUND('HEM Data'!$J$3,0)</f>
        <v>4630</v>
      </c>
      <c r="D75" s="297">
        <f>ROUND('HEM Data'!$J$4,0)</f>
        <v>5066</v>
      </c>
      <c r="E75" s="297">
        <f>ROUND('HEM Data'!$J$5,0)</f>
        <v>5427</v>
      </c>
      <c r="F75" s="297">
        <f>ROUND('HEM Data'!$J$6,0)</f>
        <v>5732</v>
      </c>
      <c r="G75" s="297">
        <f>ROUND('HEM Data'!$J$6,0)</f>
        <v>5732</v>
      </c>
      <c r="H75" s="297">
        <f>ROUND('HEM Data'!$J$6,0)</f>
        <v>5732</v>
      </c>
      <c r="I75" s="297">
        <f>ROUND('HEM Data'!$J$6,0)</f>
        <v>5732</v>
      </c>
      <c r="J75" s="297">
        <f>ROUND('HEM Data'!$J$6,0)</f>
        <v>5732</v>
      </c>
      <c r="K75" s="297">
        <f>ROUND('HEM Data'!$J$6,0)</f>
        <v>5732</v>
      </c>
      <c r="L75" s="297">
        <f>ROUND('HEM Data'!$J$9,0)</f>
        <v>3761</v>
      </c>
      <c r="M75" s="297">
        <f>ROUND('HEM Data'!$J$10,0)</f>
        <v>4302</v>
      </c>
      <c r="N75" s="297">
        <f>ROUND('HEM Data'!$J$11,0)</f>
        <v>4842</v>
      </c>
      <c r="O75" s="297">
        <f>ROUND('HEM Data'!$J$11,0)</f>
        <v>4842</v>
      </c>
      <c r="P75" s="297">
        <f>ROUND('HEM Data'!$J$11,0)</f>
        <v>4842</v>
      </c>
      <c r="Q75" s="297">
        <f>ROUND('HEM Data'!$J$11,0)</f>
        <v>4842</v>
      </c>
      <c r="R75" s="297">
        <f>ROUND('HEM Data'!$J$11,0)</f>
        <v>4842</v>
      </c>
      <c r="S75" s="297">
        <f>ROUND('HEM Data'!$J$11,0)</f>
        <v>4842</v>
      </c>
    </row>
    <row r="76" spans="1:19" ht="14.4" x14ac:dyDescent="0.3">
      <c r="A76" s="155">
        <f>'HEM Data'!K2</f>
        <v>191000</v>
      </c>
      <c r="B76" s="297">
        <f>ROUND('HEM Data'!$K$8,0)</f>
        <v>3523</v>
      </c>
      <c r="C76" s="297">
        <f>ROUND('HEM Data'!$K$3,0)</f>
        <v>4845</v>
      </c>
      <c r="D76" s="297">
        <f>ROUND('HEM Data'!$K$4,0)</f>
        <v>5280</v>
      </c>
      <c r="E76" s="297">
        <f>ROUND('HEM Data'!$K$5,0)</f>
        <v>5642</v>
      </c>
      <c r="F76" s="297">
        <f>ROUND('HEM Data'!$K$6,0)</f>
        <v>5947</v>
      </c>
      <c r="G76" s="297">
        <f>ROUND('HEM Data'!$K$6,0)</f>
        <v>5947</v>
      </c>
      <c r="H76" s="297">
        <f>ROUND('HEM Data'!$K$6,0)</f>
        <v>5947</v>
      </c>
      <c r="I76" s="297">
        <f>ROUND('HEM Data'!$K$6,0)</f>
        <v>5947</v>
      </c>
      <c r="J76" s="297">
        <f>ROUND('HEM Data'!$K$6,0)</f>
        <v>5947</v>
      </c>
      <c r="K76" s="297">
        <f>ROUND('HEM Data'!$K$6,0)</f>
        <v>5947</v>
      </c>
      <c r="L76" s="297">
        <f>ROUND('HEM Data'!$K$9,0)</f>
        <v>3972</v>
      </c>
      <c r="M76" s="297">
        <f>ROUND('HEM Data'!$K$10,0)</f>
        <v>4513</v>
      </c>
      <c r="N76" s="297">
        <f>ROUND('HEM Data'!$K$11,0)</f>
        <v>5054</v>
      </c>
      <c r="O76" s="297">
        <f>ROUND('HEM Data'!$K$11,0)</f>
        <v>5054</v>
      </c>
      <c r="P76" s="297">
        <f>ROUND('HEM Data'!$K$11,0)</f>
        <v>5054</v>
      </c>
      <c r="Q76" s="297">
        <f>ROUND('HEM Data'!$K$11,0)</f>
        <v>5054</v>
      </c>
      <c r="R76" s="297">
        <f>ROUND('HEM Data'!$K$11,0)</f>
        <v>5054</v>
      </c>
      <c r="S76" s="297">
        <f>ROUND('HEM Data'!$K$11,0)</f>
        <v>5054</v>
      </c>
    </row>
    <row r="77" spans="1:19" ht="14.4" x14ac:dyDescent="0.3">
      <c r="A77" s="155">
        <f>'HEM Data'!L2</f>
        <v>218000</v>
      </c>
      <c r="B77" s="297">
        <f>ROUND('HEM Data'!$L$8,0)</f>
        <v>3771</v>
      </c>
      <c r="C77" s="297">
        <f>ROUND('HEM Data'!$L$3,0)</f>
        <v>5095</v>
      </c>
      <c r="D77" s="297">
        <f>ROUND('HEM Data'!$L$4,0)</f>
        <v>5531</v>
      </c>
      <c r="E77" s="297">
        <f>ROUND('HEM Data'!$L$5,0)</f>
        <v>5893</v>
      </c>
      <c r="F77" s="297">
        <f>ROUND('HEM Data'!$L$6,0)</f>
        <v>6200</v>
      </c>
      <c r="G77" s="297">
        <f>ROUND('HEM Data'!$L$6,0)</f>
        <v>6200</v>
      </c>
      <c r="H77" s="297">
        <f>ROUND('HEM Data'!$L$6,0)</f>
        <v>6200</v>
      </c>
      <c r="I77" s="297">
        <f>ROUND('HEM Data'!$L$6,0)</f>
        <v>6200</v>
      </c>
      <c r="J77" s="297">
        <f>ROUND('HEM Data'!$L$6,0)</f>
        <v>6200</v>
      </c>
      <c r="K77" s="297">
        <f>ROUND('HEM Data'!$L$6,0)</f>
        <v>6200</v>
      </c>
      <c r="L77" s="297">
        <f>ROUND('HEM Data'!$L$9,0)</f>
        <v>4219</v>
      </c>
      <c r="M77" s="297">
        <f>ROUND('HEM Data'!$L$10,0)</f>
        <v>4760</v>
      </c>
      <c r="N77" s="297">
        <f>ROUND('HEM Data'!$L$11,0)</f>
        <v>5301</v>
      </c>
      <c r="O77" s="297">
        <f>ROUND('HEM Data'!$L$11,0)</f>
        <v>5301</v>
      </c>
      <c r="P77" s="297">
        <f>ROUND('HEM Data'!$L$11,0)</f>
        <v>5301</v>
      </c>
      <c r="Q77" s="297">
        <f>ROUND('HEM Data'!$L$11,0)</f>
        <v>5301</v>
      </c>
      <c r="R77" s="297">
        <f>ROUND('HEM Data'!$L$11,0)</f>
        <v>5301</v>
      </c>
      <c r="S77" s="297">
        <f>ROUND('HEM Data'!$L$11,0)</f>
        <v>5301</v>
      </c>
    </row>
    <row r="78" spans="1:19" ht="14.4" x14ac:dyDescent="0.3">
      <c r="A78" s="155">
        <f>'HEM Data'!M2</f>
        <v>272000</v>
      </c>
      <c r="B78" s="297">
        <f>ROUND('HEM Data'!$M$8,0)</f>
        <v>4364</v>
      </c>
      <c r="C78" s="297">
        <f>ROUND('HEM Data'!$M$3,0)</f>
        <v>5694</v>
      </c>
      <c r="D78" s="297">
        <f>ROUND('HEM Data'!$M$4,0)</f>
        <v>6129</v>
      </c>
      <c r="E78" s="297">
        <f>ROUND('HEM Data'!$M$5,0)</f>
        <v>6494</v>
      </c>
      <c r="F78" s="297">
        <f>ROUND('HEM Data'!$M$6,0)</f>
        <v>6802</v>
      </c>
      <c r="G78" s="297">
        <f>ROUND('HEM Data'!$M$6,0)</f>
        <v>6802</v>
      </c>
      <c r="H78" s="297">
        <f>ROUND('HEM Data'!$M$6,0)</f>
        <v>6802</v>
      </c>
      <c r="I78" s="297">
        <f>ROUND('HEM Data'!$M$6,0)</f>
        <v>6802</v>
      </c>
      <c r="J78" s="297">
        <f>ROUND('HEM Data'!$M$6,0)</f>
        <v>6802</v>
      </c>
      <c r="K78" s="297">
        <f>ROUND('HEM Data'!$M$6,0)</f>
        <v>6802</v>
      </c>
      <c r="L78" s="297">
        <f>ROUND('HEM Data'!$M$9,0)</f>
        <v>4808</v>
      </c>
      <c r="M78" s="297">
        <f>ROUND('HEM Data'!$M$10,0)</f>
        <v>5350</v>
      </c>
      <c r="N78" s="297">
        <f>ROUND('HEM Data'!$M$11,0)</f>
        <v>5891</v>
      </c>
      <c r="O78" s="297">
        <f>ROUND('HEM Data'!$M$11,0)</f>
        <v>5891</v>
      </c>
      <c r="P78" s="297">
        <f>ROUND('HEM Data'!$M$11,0)</f>
        <v>5891</v>
      </c>
      <c r="Q78" s="297">
        <f>ROUND('HEM Data'!$M$11,0)</f>
        <v>5891</v>
      </c>
      <c r="R78" s="297">
        <f>ROUND('HEM Data'!$M$11,0)</f>
        <v>5891</v>
      </c>
      <c r="S78" s="297">
        <f>ROUND('HEM Data'!$M$11,0)</f>
        <v>5891</v>
      </c>
    </row>
    <row r="79" spans="1:19" ht="14.4" x14ac:dyDescent="0.3">
      <c r="A79" s="155">
        <f>'HEM Data'!N2</f>
        <v>341000</v>
      </c>
      <c r="B79" s="297">
        <f>ROUND('HEM Data'!$N$8,0)</f>
        <v>5065</v>
      </c>
      <c r="C79" s="297">
        <f>ROUND('HEM Data'!$N$3,0)</f>
        <v>6402</v>
      </c>
      <c r="D79" s="297">
        <f>ROUND('HEM Data'!$N$4,0)</f>
        <v>6836</v>
      </c>
      <c r="E79" s="297">
        <f>ROUND('HEM Data'!$N$5,0)</f>
        <v>7203</v>
      </c>
      <c r="F79" s="297">
        <f>ROUND('HEM Data'!$N$6,0)</f>
        <v>7514</v>
      </c>
      <c r="G79" s="297">
        <f>ROUND('HEM Data'!$N$6,0)</f>
        <v>7514</v>
      </c>
      <c r="H79" s="297">
        <f>ROUND('HEM Data'!$N$6,0)</f>
        <v>7514</v>
      </c>
      <c r="I79" s="297">
        <f>ROUND('HEM Data'!$N$6,0)</f>
        <v>7514</v>
      </c>
      <c r="J79" s="297">
        <f>ROUND('HEM Data'!$N$6,0)</f>
        <v>7514</v>
      </c>
      <c r="K79" s="297">
        <f>ROUND('HEM Data'!$N$6,0)</f>
        <v>7514</v>
      </c>
      <c r="L79" s="297">
        <f>ROUND('HEM Data'!$N$9,0)</f>
        <v>5505</v>
      </c>
      <c r="M79" s="297">
        <f>ROUND('HEM Data'!$N$10,0)</f>
        <v>6047</v>
      </c>
      <c r="N79" s="297">
        <f>ROUND('HEM Data'!$N$11,0)</f>
        <v>6588</v>
      </c>
      <c r="O79" s="297">
        <f>ROUND('HEM Data'!$N$11,0)</f>
        <v>6588</v>
      </c>
      <c r="P79" s="297">
        <f>ROUND('HEM Data'!$N$11,0)</f>
        <v>6588</v>
      </c>
      <c r="Q79" s="297">
        <f>ROUND('HEM Data'!$N$11,0)</f>
        <v>6588</v>
      </c>
      <c r="R79" s="297">
        <f>ROUND('HEM Data'!$N$11,0)</f>
        <v>6588</v>
      </c>
      <c r="S79" s="297">
        <f>ROUND('HEM Data'!$N$11,0)</f>
        <v>6588</v>
      </c>
    </row>
    <row r="80" spans="1:19" ht="14.4" x14ac:dyDescent="0.3">
      <c r="A80" s="155">
        <f>'HEM Data'!O2</f>
        <v>409000</v>
      </c>
      <c r="B80" s="297">
        <f>ROUND('HEM Data'!$O$8,0)</f>
        <v>5232</v>
      </c>
      <c r="C80" s="297">
        <f>ROUND('HEM Data'!$O$3,0)</f>
        <v>6570</v>
      </c>
      <c r="D80" s="297">
        <f>ROUND('HEM Data'!$O$4,0)</f>
        <v>7004</v>
      </c>
      <c r="E80" s="297">
        <f>ROUND('HEM Data'!$O$5,0)</f>
        <v>7372</v>
      </c>
      <c r="F80" s="297">
        <f>ROUND('HEM Data'!$O$6,0)</f>
        <v>7684</v>
      </c>
      <c r="G80" s="297">
        <f>ROUND('HEM Data'!$O$6,0)</f>
        <v>7684</v>
      </c>
      <c r="H80" s="297">
        <f>ROUND('HEM Data'!$O$6,0)</f>
        <v>7684</v>
      </c>
      <c r="I80" s="297">
        <f>ROUND('HEM Data'!$O$6,0)</f>
        <v>7684</v>
      </c>
      <c r="J80" s="297">
        <f>ROUND('HEM Data'!$O$6,0)</f>
        <v>7684</v>
      </c>
      <c r="K80" s="297">
        <f>ROUND('HEM Data'!$O$6,0)</f>
        <v>7684</v>
      </c>
      <c r="L80" s="297">
        <f>ROUND('HEM Data'!$O$9,0)</f>
        <v>5671</v>
      </c>
      <c r="M80" s="297">
        <f>ROUND('HEM Data'!$O$10,0)</f>
        <v>6213</v>
      </c>
      <c r="N80" s="297">
        <f>ROUND('HEM Data'!$O$11,0)</f>
        <v>6755</v>
      </c>
      <c r="O80" s="297">
        <f>ROUND('HEM Data'!$O$11,0)</f>
        <v>6755</v>
      </c>
      <c r="P80" s="297">
        <f>ROUND('HEM Data'!$O$11,0)</f>
        <v>6755</v>
      </c>
      <c r="Q80" s="297">
        <f>ROUND('HEM Data'!$O$11,0)</f>
        <v>6755</v>
      </c>
      <c r="R80" s="297">
        <f>ROUND('HEM Data'!$O$11,0)</f>
        <v>6755</v>
      </c>
      <c r="S80" s="297">
        <f>ROUND('HEM Data'!$O$11,0)</f>
        <v>6755</v>
      </c>
    </row>
    <row r="81" spans="1:19" ht="14.4" x14ac:dyDescent="0.3">
      <c r="A81" s="155"/>
      <c r="B81" s="297">
        <f>ROUND('HEM Data'!$P$8,0)</f>
        <v>0</v>
      </c>
      <c r="C81" s="297">
        <f>ROUND('HEM Data'!$P$3,0)</f>
        <v>0</v>
      </c>
      <c r="D81" s="297">
        <f>ROUND('HEM Data'!$P$4,0)</f>
        <v>0</v>
      </c>
      <c r="E81" s="297">
        <f>ROUND('HEM Data'!$P$5,0)</f>
        <v>0</v>
      </c>
      <c r="F81" s="297">
        <f>ROUND('HEM Data'!$P$6,0)</f>
        <v>0</v>
      </c>
      <c r="G81" s="297">
        <f>ROUND('HEM Data'!$P$6,0)</f>
        <v>0</v>
      </c>
      <c r="H81" s="297">
        <f>ROUND('HEM Data'!$P$6,0)</f>
        <v>0</v>
      </c>
      <c r="I81" s="297">
        <f>ROUND('HEM Data'!$P$6,0)</f>
        <v>0</v>
      </c>
      <c r="J81" s="297">
        <f>ROUND('HEM Data'!$P$6,0)</f>
        <v>0</v>
      </c>
      <c r="K81" s="297">
        <f>ROUND('HEM Data'!$P$6,0)</f>
        <v>0</v>
      </c>
      <c r="L81" s="297">
        <f>ROUND('HEM Data'!$P$9,0)</f>
        <v>0</v>
      </c>
      <c r="M81" s="297">
        <f>ROUND('HEM Data'!$P$10,0)</f>
        <v>0</v>
      </c>
      <c r="N81" s="297">
        <f>ROUND('HEM Data'!$P$11,0)</f>
        <v>0</v>
      </c>
      <c r="O81" s="297">
        <f>ROUND('HEM Data'!$P$11,0)</f>
        <v>0</v>
      </c>
      <c r="P81" s="297">
        <f>ROUND('HEM Data'!$P$11,0)</f>
        <v>0</v>
      </c>
      <c r="Q81" s="297">
        <f>ROUND('HEM Data'!$P$11,0)</f>
        <v>0</v>
      </c>
      <c r="R81" s="297">
        <f>ROUND('HEM Data'!$P$11,0)</f>
        <v>0</v>
      </c>
      <c r="S81" s="297">
        <f>ROUND('HEM Data'!$P$11,0)</f>
        <v>0</v>
      </c>
    </row>
    <row r="82" spans="1:19" ht="14.4" x14ac:dyDescent="0.3">
      <c r="A82" s="155"/>
      <c r="B82" s="297">
        <f>ROUND('HEM Data'!$Q$8,0)</f>
        <v>0</v>
      </c>
      <c r="C82" s="297">
        <f>ROUND('HEM Data'!$Q$3,0)</f>
        <v>0</v>
      </c>
      <c r="D82" s="297">
        <f>ROUND('HEM Data'!$Q$4,0)</f>
        <v>0</v>
      </c>
      <c r="E82" s="297">
        <f>ROUND('HEM Data'!$Q$5,0)</f>
        <v>0</v>
      </c>
      <c r="F82" s="297">
        <f>ROUND('HEM Data'!$Q$6,0)</f>
        <v>0</v>
      </c>
      <c r="G82" s="297">
        <f>ROUND('HEM Data'!$Q$6,0)</f>
        <v>0</v>
      </c>
      <c r="H82" s="297">
        <f>ROUND('HEM Data'!$Q$6,0)</f>
        <v>0</v>
      </c>
      <c r="I82" s="297">
        <f>ROUND('HEM Data'!$Q$6,0)</f>
        <v>0</v>
      </c>
      <c r="J82" s="297">
        <f>ROUND('HEM Data'!$Q$6,0)</f>
        <v>0</v>
      </c>
      <c r="K82" s="297">
        <f>ROUND('HEM Data'!$Q$6,0)</f>
        <v>0</v>
      </c>
      <c r="L82" s="297">
        <f>ROUND('HEM Data'!$Q$9,0)</f>
        <v>0</v>
      </c>
      <c r="M82" s="297">
        <f>ROUND('HEM Data'!$Q$10,0)</f>
        <v>0</v>
      </c>
      <c r="N82" s="297">
        <f>ROUND('HEM Data'!$Q$11,0)</f>
        <v>0</v>
      </c>
      <c r="O82" s="297">
        <f>ROUND('HEM Data'!$Q$11,0)</f>
        <v>0</v>
      </c>
      <c r="P82" s="297">
        <f>ROUND('HEM Data'!$Q$11,0)</f>
        <v>0</v>
      </c>
      <c r="Q82" s="297">
        <f>ROUND('HEM Data'!$Q$11,0)</f>
        <v>0</v>
      </c>
      <c r="R82" s="297">
        <f>ROUND('HEM Data'!$Q$11,0)</f>
        <v>0</v>
      </c>
      <c r="S82" s="297">
        <f>ROUND('HEM Data'!$Q$11,0)</f>
        <v>0</v>
      </c>
    </row>
    <row r="83" spans="1:19" ht="14.4" x14ac:dyDescent="0.3">
      <c r="A83" s="155"/>
      <c r="B83" s="297">
        <f>ROUND('HEM Data'!$R$8,0)</f>
        <v>0</v>
      </c>
      <c r="C83" s="297">
        <f>ROUND('HEM Data'!$R$3,0)</f>
        <v>0</v>
      </c>
      <c r="D83" s="297">
        <f>ROUND('HEM Data'!$R$4,0)</f>
        <v>0</v>
      </c>
      <c r="E83" s="297">
        <f>ROUND('HEM Data'!$R$5,0)</f>
        <v>0</v>
      </c>
      <c r="F83" s="297">
        <f>ROUND('HEM Data'!$R$6,0)</f>
        <v>0</v>
      </c>
      <c r="G83" s="297">
        <f>ROUND('HEM Data'!$R$6,0)</f>
        <v>0</v>
      </c>
      <c r="H83" s="297">
        <f>ROUND('HEM Data'!$R$6,0)</f>
        <v>0</v>
      </c>
      <c r="I83" s="297">
        <f>ROUND('HEM Data'!$R$6,0)</f>
        <v>0</v>
      </c>
      <c r="J83" s="297">
        <f>ROUND('HEM Data'!$R$6,0)</f>
        <v>0</v>
      </c>
      <c r="K83" s="297">
        <f>ROUND('HEM Data'!$R$6,0)</f>
        <v>0</v>
      </c>
      <c r="L83" s="297">
        <f>ROUND('HEM Data'!$R$9,0)</f>
        <v>0</v>
      </c>
      <c r="M83" s="297">
        <f>ROUND('HEM Data'!$R$10,0)</f>
        <v>0</v>
      </c>
      <c r="N83" s="297">
        <f>ROUND('HEM Data'!$R$11,0)</f>
        <v>0</v>
      </c>
      <c r="O83" s="297">
        <f>ROUND('HEM Data'!$R$11,0)</f>
        <v>0</v>
      </c>
      <c r="P83" s="297">
        <f>ROUND('HEM Data'!$R$11,0)</f>
        <v>0</v>
      </c>
      <c r="Q83" s="297">
        <f>ROUND('HEM Data'!$R$11,0)</f>
        <v>0</v>
      </c>
      <c r="R83" s="297">
        <f>ROUND('HEM Data'!$R$11,0)</f>
        <v>0</v>
      </c>
      <c r="S83" s="297">
        <f>ROUND('HEM Data'!$R$11,0)</f>
        <v>0</v>
      </c>
    </row>
    <row r="84" spans="1:19" ht="14.4" x14ac:dyDescent="0.3">
      <c r="A84" s="26"/>
      <c r="B84" s="35"/>
      <c r="C84" s="35"/>
      <c r="D84" s="35"/>
      <c r="E84" s="35"/>
      <c r="F84" s="35"/>
      <c r="G84" s="35"/>
      <c r="H84" s="35"/>
      <c r="I84" s="35"/>
      <c r="J84" s="35"/>
      <c r="K84" s="35"/>
      <c r="L84" s="35"/>
      <c r="M84" s="35"/>
      <c r="N84" s="35"/>
      <c r="O84" s="35"/>
      <c r="P84" s="35"/>
      <c r="Q84" s="35"/>
      <c r="R84" s="35"/>
      <c r="S84" s="35"/>
    </row>
    <row r="85" spans="1:19" ht="14.4" x14ac:dyDescent="0.3">
      <c r="A85" s="26"/>
      <c r="B85" s="35"/>
      <c r="C85" s="35"/>
      <c r="D85" s="35"/>
      <c r="E85" s="35"/>
      <c r="F85" s="35"/>
      <c r="G85" s="35"/>
      <c r="H85" s="35"/>
      <c r="I85" s="35"/>
      <c r="J85" s="35"/>
      <c r="K85" s="35"/>
      <c r="L85" s="35"/>
      <c r="M85" s="35"/>
      <c r="N85" s="35"/>
      <c r="O85" s="35"/>
      <c r="P85" s="35"/>
      <c r="Q85" s="35"/>
      <c r="R85" s="35"/>
      <c r="S85" s="35"/>
    </row>
    <row r="86" spans="1:19" ht="14.4" x14ac:dyDescent="0.3">
      <c r="A86" s="26"/>
      <c r="B86" s="35"/>
      <c r="C86" s="35"/>
      <c r="D86" s="35"/>
      <c r="E86" s="35"/>
      <c r="F86" s="35"/>
      <c r="G86" s="35"/>
      <c r="H86" s="35"/>
      <c r="I86" s="35"/>
      <c r="J86" s="35"/>
      <c r="K86" s="35"/>
      <c r="L86" s="35"/>
      <c r="M86" s="35"/>
      <c r="N86" s="35"/>
      <c r="O86" s="35"/>
      <c r="P86" s="35"/>
      <c r="Q86" s="35"/>
      <c r="R86" s="35"/>
      <c r="S86" s="35"/>
    </row>
    <row r="87" spans="1:19" ht="14.4" x14ac:dyDescent="0.3">
      <c r="A87" s="26"/>
      <c r="B87" s="35"/>
      <c r="C87" s="35"/>
      <c r="D87" s="35"/>
      <c r="E87" s="35"/>
      <c r="F87" s="35"/>
      <c r="G87" s="35"/>
      <c r="H87" s="35"/>
      <c r="I87" s="35"/>
      <c r="J87" s="35"/>
      <c r="K87" s="35"/>
      <c r="L87" s="35"/>
      <c r="M87" s="35"/>
      <c r="N87" s="35"/>
      <c r="O87" s="35"/>
      <c r="P87" s="35"/>
      <c r="Q87" s="35"/>
      <c r="R87" s="35"/>
      <c r="S87" s="35"/>
    </row>
    <row r="88" spans="1:19" ht="14.4" x14ac:dyDescent="0.3">
      <c r="A88" s="26"/>
      <c r="B88" s="35"/>
      <c r="C88" s="35"/>
      <c r="D88" s="35"/>
      <c r="E88" s="35"/>
      <c r="F88" s="35"/>
      <c r="G88" s="35"/>
      <c r="H88" s="35"/>
      <c r="I88" s="35"/>
      <c r="J88" s="35"/>
      <c r="K88" s="35"/>
      <c r="L88" s="35"/>
      <c r="M88" s="35"/>
      <c r="N88" s="35"/>
      <c r="O88" s="35"/>
      <c r="P88" s="35"/>
      <c r="Q88" s="35"/>
      <c r="R88" s="35"/>
      <c r="S88" s="35"/>
    </row>
    <row r="89" spans="1:19" ht="14.4" x14ac:dyDescent="0.3">
      <c r="A89" s="26"/>
      <c r="B89" s="35"/>
      <c r="C89" s="35"/>
      <c r="D89" s="35"/>
      <c r="E89" s="35"/>
      <c r="F89" s="35"/>
      <c r="G89" s="35"/>
      <c r="H89" s="35"/>
      <c r="I89" s="35"/>
      <c r="J89" s="35"/>
      <c r="K89" s="35"/>
      <c r="L89" s="35"/>
      <c r="M89" s="35"/>
      <c r="N89" s="35"/>
      <c r="O89" s="35"/>
      <c r="P89" s="35"/>
      <c r="Q89" s="35"/>
      <c r="R89" s="35"/>
      <c r="S89" s="35"/>
    </row>
    <row r="90" spans="1:19" ht="14.4" x14ac:dyDescent="0.3">
      <c r="A90" s="26"/>
      <c r="B90" s="35"/>
      <c r="C90" s="35"/>
      <c r="D90" s="35"/>
      <c r="E90" s="35"/>
      <c r="F90" s="35"/>
      <c r="G90" s="35"/>
      <c r="H90" s="35"/>
      <c r="I90" s="35"/>
      <c r="J90" s="35"/>
      <c r="K90" s="35"/>
      <c r="L90" s="35"/>
      <c r="M90" s="35"/>
      <c r="N90" s="35"/>
      <c r="O90" s="35"/>
      <c r="P90" s="35"/>
      <c r="Q90" s="35"/>
      <c r="R90" s="35"/>
      <c r="S90" s="35"/>
    </row>
    <row r="91" spans="1:19" ht="14.4" x14ac:dyDescent="0.3">
      <c r="A91" s="26"/>
      <c r="B91" s="35"/>
      <c r="C91" s="35"/>
      <c r="D91" s="35"/>
      <c r="E91" s="35"/>
      <c r="F91" s="35"/>
      <c r="G91" s="35"/>
      <c r="H91" s="35"/>
      <c r="I91" s="35"/>
      <c r="J91" s="35"/>
      <c r="K91" s="35"/>
      <c r="L91" s="35"/>
      <c r="M91" s="35"/>
      <c r="N91" s="35"/>
      <c r="O91" s="35"/>
      <c r="P91" s="35"/>
      <c r="Q91" s="35"/>
      <c r="R91" s="35"/>
      <c r="S91" s="35"/>
    </row>
    <row r="92" spans="1:19" ht="14.4" x14ac:dyDescent="0.3">
      <c r="A92" s="26"/>
      <c r="B92" s="35"/>
      <c r="C92" s="35"/>
      <c r="D92" s="35"/>
      <c r="E92" s="35"/>
      <c r="F92" s="35"/>
      <c r="G92" s="35"/>
      <c r="H92" s="35"/>
      <c r="I92" s="35"/>
      <c r="J92" s="35"/>
      <c r="K92" s="35"/>
      <c r="L92" s="35"/>
      <c r="M92" s="35"/>
      <c r="N92" s="35"/>
      <c r="O92" s="35"/>
      <c r="P92" s="35"/>
      <c r="Q92" s="35"/>
      <c r="R92" s="35"/>
      <c r="S92" s="35"/>
    </row>
  </sheetData>
  <dataConsolidate/>
  <mergeCells count="17">
    <mergeCell ref="A1:E1"/>
    <mergeCell ref="B7:C7"/>
    <mergeCell ref="A3:C3"/>
    <mergeCell ref="A31:B31"/>
    <mergeCell ref="F7:G7"/>
    <mergeCell ref="D7:E7"/>
    <mergeCell ref="A29:B29"/>
    <mergeCell ref="A8:A11"/>
    <mergeCell ref="A30:B30"/>
    <mergeCell ref="B14:C14"/>
    <mergeCell ref="A15:A18"/>
    <mergeCell ref="B21:C21"/>
    <mergeCell ref="A22:A25"/>
    <mergeCell ref="D14:E14"/>
    <mergeCell ref="F14:G14"/>
    <mergeCell ref="D21:E21"/>
    <mergeCell ref="F21:G21"/>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4" workbookViewId="0">
      <selection activeCell="C20" sqref="C20"/>
    </sheetView>
  </sheetViews>
  <sheetFormatPr defaultRowHeight="13.2" x14ac:dyDescent="0.25"/>
  <cols>
    <col min="1" max="1" width="18.5546875" customWidth="1"/>
    <col min="2" max="2" width="28.6640625" customWidth="1"/>
    <col min="3" max="3" width="18.5546875" customWidth="1"/>
  </cols>
  <sheetData>
    <row r="1" spans="1:11" x14ac:dyDescent="0.25">
      <c r="A1" s="550" t="s">
        <v>238</v>
      </c>
      <c r="B1" s="533"/>
      <c r="C1" s="534"/>
    </row>
    <row r="2" spans="1:11" ht="26.4" x14ac:dyDescent="0.25">
      <c r="A2" s="1" t="s">
        <v>239</v>
      </c>
      <c r="B2" s="1" t="s">
        <v>208</v>
      </c>
      <c r="C2" s="1" t="s">
        <v>210</v>
      </c>
    </row>
    <row r="3" spans="1:11" x14ac:dyDescent="0.25">
      <c r="A3" s="298">
        <v>0</v>
      </c>
      <c r="B3" s="299">
        <v>0</v>
      </c>
      <c r="C3" s="300">
        <v>0</v>
      </c>
    </row>
    <row r="4" spans="1:11" x14ac:dyDescent="0.25">
      <c r="A4" s="301">
        <v>18201</v>
      </c>
      <c r="B4" s="302">
        <f>(A4-A3)*C3+B3</f>
        <v>0</v>
      </c>
      <c r="C4" s="303">
        <v>0.16</v>
      </c>
    </row>
    <row r="5" spans="1:11" x14ac:dyDescent="0.25">
      <c r="A5" s="301">
        <v>45001</v>
      </c>
      <c r="B5" s="302">
        <f>(A5-A4)*C4+B4</f>
        <v>4288</v>
      </c>
      <c r="C5" s="303">
        <v>0.3</v>
      </c>
    </row>
    <row r="6" spans="1:11" x14ac:dyDescent="0.25">
      <c r="A6" s="301">
        <v>135001</v>
      </c>
      <c r="B6" s="302">
        <f>(A6-A5)*C5+B5</f>
        <v>31288</v>
      </c>
      <c r="C6" s="303">
        <v>0.37</v>
      </c>
    </row>
    <row r="7" spans="1:11" x14ac:dyDescent="0.25">
      <c r="A7" s="304">
        <v>190001</v>
      </c>
      <c r="B7" s="302">
        <f>(A7-A6)*C6+B6</f>
        <v>51638</v>
      </c>
      <c r="C7" s="305">
        <v>0.45</v>
      </c>
    </row>
    <row r="8" spans="1:11" x14ac:dyDescent="0.25">
      <c r="A8" s="532" t="s">
        <v>214</v>
      </c>
      <c r="B8" s="534"/>
      <c r="C8" s="306">
        <v>0.02</v>
      </c>
    </row>
    <row r="9" spans="1:11" x14ac:dyDescent="0.25">
      <c r="A9" s="532" t="s">
        <v>240</v>
      </c>
      <c r="B9" s="534"/>
      <c r="C9" s="306">
        <v>0.3</v>
      </c>
    </row>
    <row r="10" spans="1:11" x14ac:dyDescent="0.25">
      <c r="A10" s="532" t="s">
        <v>193</v>
      </c>
      <c r="B10" s="534"/>
      <c r="C10" s="306">
        <v>0.8</v>
      </c>
      <c r="D10" s="552" t="s">
        <v>194</v>
      </c>
      <c r="E10" s="553"/>
      <c r="F10" s="553"/>
      <c r="G10" s="306">
        <v>0.6</v>
      </c>
    </row>
    <row r="11" spans="1:11" x14ac:dyDescent="0.25">
      <c r="A11" s="532" t="s">
        <v>241</v>
      </c>
      <c r="B11" s="534"/>
      <c r="C11" s="306">
        <v>0.2</v>
      </c>
    </row>
    <row r="12" spans="1:11" ht="13.8" thickBot="1" x14ac:dyDescent="0.3">
      <c r="A12" s="532" t="s">
        <v>242</v>
      </c>
      <c r="B12" s="534"/>
      <c r="C12" s="307">
        <v>5.5E-2</v>
      </c>
    </row>
    <row r="13" spans="1:11" ht="13.8" thickBot="1" x14ac:dyDescent="0.3">
      <c r="A13" s="182" t="s">
        <v>243</v>
      </c>
      <c r="B13" s="156"/>
      <c r="C13" s="308">
        <v>5.2499999999999998E-2</v>
      </c>
    </row>
    <row r="14" spans="1:11" x14ac:dyDescent="0.25">
      <c r="A14" s="157" t="s">
        <v>244</v>
      </c>
      <c r="B14" s="156"/>
      <c r="C14" s="309">
        <f>Main!F20</f>
        <v>0</v>
      </c>
      <c r="D14" s="158" t="s">
        <v>245</v>
      </c>
      <c r="F14" s="159">
        <v>360</v>
      </c>
      <c r="G14" s="159">
        <v>300</v>
      </c>
      <c r="H14" s="159">
        <v>240</v>
      </c>
      <c r="I14" s="159">
        <v>180</v>
      </c>
      <c r="J14" s="159">
        <v>120</v>
      </c>
      <c r="K14" s="159">
        <v>60</v>
      </c>
    </row>
    <row r="15" spans="1:11" x14ac:dyDescent="0.25">
      <c r="A15" s="157" t="s">
        <v>246</v>
      </c>
      <c r="B15" s="156"/>
      <c r="C15" s="310">
        <f>Main!F21</f>
        <v>0</v>
      </c>
      <c r="D15" s="158" t="s">
        <v>245</v>
      </c>
      <c r="F15" s="159">
        <v>300</v>
      </c>
      <c r="G15" s="159">
        <v>240</v>
      </c>
      <c r="H15" s="159">
        <v>180</v>
      </c>
      <c r="I15" s="159">
        <v>120</v>
      </c>
      <c r="J15" s="159">
        <v>60</v>
      </c>
      <c r="K15" s="159"/>
    </row>
    <row r="16" spans="1:11" x14ac:dyDescent="0.25">
      <c r="A16" s="550" t="s">
        <v>247</v>
      </c>
      <c r="B16" s="533"/>
      <c r="C16" s="534"/>
    </row>
    <row r="17" spans="1:5" x14ac:dyDescent="0.25">
      <c r="A17" s="531" t="s">
        <v>248</v>
      </c>
      <c r="B17" s="523"/>
      <c r="C17" s="37" t="s">
        <v>249</v>
      </c>
    </row>
    <row r="18" spans="1:5" x14ac:dyDescent="0.25">
      <c r="A18" s="531" t="s">
        <v>250</v>
      </c>
      <c r="B18" s="523"/>
      <c r="C18" s="37" t="s">
        <v>249</v>
      </c>
    </row>
    <row r="19" spans="1:5" x14ac:dyDescent="0.25">
      <c r="A19" s="522" t="s">
        <v>251</v>
      </c>
      <c r="B19" s="523"/>
      <c r="C19" s="37" t="s">
        <v>249</v>
      </c>
    </row>
    <row r="20" spans="1:5" x14ac:dyDescent="0.25">
      <c r="A20" s="531" t="s">
        <v>146</v>
      </c>
      <c r="B20" s="547"/>
      <c r="C20" s="311">
        <f>(Living_Expenses)*12</f>
        <v>0</v>
      </c>
      <c r="D20" s="311">
        <f>Living_Exp_for_ARA*12</f>
        <v>0</v>
      </c>
    </row>
    <row r="21" spans="1:5" x14ac:dyDescent="0.25">
      <c r="A21" s="550" t="s">
        <v>252</v>
      </c>
      <c r="B21" s="551"/>
      <c r="C21" s="306">
        <v>3.2000000000000001E-2</v>
      </c>
    </row>
    <row r="22" spans="1:5" x14ac:dyDescent="0.25">
      <c r="A22" s="550" t="s">
        <v>253</v>
      </c>
      <c r="B22" s="551"/>
      <c r="C22" s="306">
        <v>3.5000000000000003E-2</v>
      </c>
    </row>
    <row r="23" spans="1:5" x14ac:dyDescent="0.25">
      <c r="A23" s="550" t="s">
        <v>254</v>
      </c>
      <c r="B23" s="551"/>
      <c r="C23" s="306">
        <v>3.7499999999999999E-2</v>
      </c>
    </row>
    <row r="24" spans="1:5" ht="13.8" thickBot="1" x14ac:dyDescent="0.3">
      <c r="A24" s="550" t="s">
        <v>255</v>
      </c>
      <c r="B24" s="551"/>
      <c r="C24" s="307">
        <v>0.01</v>
      </c>
    </row>
    <row r="25" spans="1:5" ht="13.8" thickBot="1" x14ac:dyDescent="0.3">
      <c r="A25" s="548" t="s">
        <v>256</v>
      </c>
      <c r="B25" s="549"/>
      <c r="C25" s="308">
        <f>MAX((Minimum_Servicing_Test_Rate+SVR),(Minimum_Servicing_Test_Rate+Loan_Interest_Rate))</f>
        <v>6.8399999999999989E-2</v>
      </c>
      <c r="E25">
        <f>IF(Main!C13="Variable",(Minimum_Servicing_Test_Rate+Loan_Interest_Rate),(SVR+Loan_Interest_Rate))</f>
        <v>3.8399999999999997E-2</v>
      </c>
    </row>
    <row r="26" spans="1:5" x14ac:dyDescent="0.25">
      <c r="A26" s="536" t="str">
        <f>+"Standard Variable Rate is set to "&amp;TEXT(SVR,"##0.00%")&amp;"p.a."</f>
        <v>Standard Variable Rate is set to 3.84%p.a.</v>
      </c>
      <c r="B26" s="537"/>
      <c r="C26" s="530"/>
    </row>
    <row r="27" spans="1:5" x14ac:dyDescent="0.25">
      <c r="A27" s="528" t="str">
        <f>+"Proposed Loan Interest Rate is "&amp;TEXT(Loan_Interest_Rate,"##0.00%")&amp;"p.a."</f>
        <v>Proposed Loan Interest Rate is 0.00%p.a.</v>
      </c>
      <c r="B27" s="529"/>
      <c r="C27" s="530"/>
    </row>
    <row r="28" spans="1:5" x14ac:dyDescent="0.25">
      <c r="A28" s="528" t="str">
        <f>+"Buffer is set to "&amp;TEXT(Minimum_Servicing_Test_Rate,"##0.00%")&amp;"p.a."</f>
        <v>Buffer is set to 3.00%p.a.</v>
      </c>
      <c r="B28" s="529"/>
      <c r="C28" s="530"/>
    </row>
    <row r="29" spans="1:5" x14ac:dyDescent="0.25">
      <c r="A29" s="525" t="str">
        <f>+"Interest Rate used in this ARA Calculation is "&amp;TEXT(NSRInterestRate,"##0.00%")&amp;"p.a."</f>
        <v>Interest Rate used in this ARA Calculation is 6.84%p.a.</v>
      </c>
      <c r="B29" s="526"/>
      <c r="C29" s="527"/>
    </row>
    <row r="30" spans="1:5" x14ac:dyDescent="0.25">
      <c r="A30" s="522" t="s">
        <v>257</v>
      </c>
      <c r="B30" s="523"/>
      <c r="C30" s="312" t="e">
        <f>IF((TOTAL_COSTS-Applicable_Living_Expenses)=0,0,ROUND((Total_Net_Annual_Income-Applicable_Living_Expenses)/(TOTAL_COSTS-Applicable_Living_Expenses),6))</f>
        <v>#NUM!</v>
      </c>
    </row>
    <row r="31" spans="1:5" x14ac:dyDescent="0.25">
      <c r="A31" s="531" t="s">
        <v>258</v>
      </c>
      <c r="B31" s="523"/>
      <c r="C31" s="2" t="e">
        <f>TEXT(ROUND(NSRCalculated,4),"##0.0000")&amp;":1"</f>
        <v>#NUM!</v>
      </c>
    </row>
    <row r="32" spans="1:5" x14ac:dyDescent="0.25">
      <c r="A32" s="531" t="s">
        <v>259</v>
      </c>
      <c r="B32" s="523"/>
      <c r="C32" s="313">
        <v>1</v>
      </c>
    </row>
    <row r="33" spans="1:5" x14ac:dyDescent="0.25">
      <c r="A33" s="531" t="s">
        <v>260</v>
      </c>
      <c r="B33" s="523"/>
      <c r="C33" s="2" t="str">
        <f>TEXT(ROUND(NSRRequired,4),"##0.0000")&amp;":1"</f>
        <v>1.0000:1</v>
      </c>
    </row>
    <row r="34" spans="1:5" x14ac:dyDescent="0.25">
      <c r="A34" s="524" t="s">
        <v>261</v>
      </c>
      <c r="B34" s="524"/>
      <c r="C34" s="3" t="e">
        <f>IF(NSRCalculated&lt;NSRRequired,0,1)</f>
        <v>#NUM!</v>
      </c>
    </row>
    <row r="35" spans="1:5" x14ac:dyDescent="0.25">
      <c r="A35" s="532" t="s">
        <v>86</v>
      </c>
      <c r="B35" s="533"/>
      <c r="C35" s="534"/>
    </row>
    <row r="36" spans="1:5" ht="13.8" thickBot="1" x14ac:dyDescent="0.3">
      <c r="A36" s="546" t="s">
        <v>262</v>
      </c>
      <c r="B36" s="546"/>
      <c r="C36" s="314">
        <f>NSRRequired+0.00001</f>
        <v>1.0000100000000001</v>
      </c>
    </row>
    <row r="37" spans="1:5" ht="13.8" thickBot="1" x14ac:dyDescent="0.3">
      <c r="A37" s="524" t="s">
        <v>263</v>
      </c>
      <c r="B37" s="531"/>
      <c r="C37" s="315" t="e">
        <f>ROUNDUP((((Total_Net_Annual_Income-(Living_Exp_for_ARA*12))/C36)-(Other_Commits_Total_Monthly_Payment*12)),0)</f>
        <v>#NUM!</v>
      </c>
      <c r="E37" s="36"/>
    </row>
    <row r="38" spans="1:5" x14ac:dyDescent="0.25">
      <c r="A38" s="535" t="s">
        <v>264</v>
      </c>
      <c r="B38" s="535"/>
      <c r="C38" s="316" t="e">
        <f>ROUNDDOWN(C37/12,0)</f>
        <v>#NUM!</v>
      </c>
    </row>
    <row r="39" spans="1:5" x14ac:dyDescent="0.25">
      <c r="A39" s="535" t="s">
        <v>265</v>
      </c>
      <c r="B39" s="535"/>
      <c r="C39" s="317" t="e">
        <f>ROUNDDOWN(IF(C38&gt;=0,-PV(MAX(CalculationsReference!G9,CalculationsReference!G16,CalculationsReference!G23)/12,CalculationsReference!G10*12,C38,0,0),0),0)</f>
        <v>#NUM!</v>
      </c>
    </row>
    <row r="40" spans="1:5" x14ac:dyDescent="0.25">
      <c r="A40" s="531" t="s">
        <v>266</v>
      </c>
      <c r="B40" s="547"/>
      <c r="C40" s="318" t="e">
        <f>ROUNDDOWN(C39/10000,1)*10000</f>
        <v>#NUM!</v>
      </c>
    </row>
    <row r="41" spans="1:5" x14ac:dyDescent="0.25">
      <c r="A41" s="522" t="s">
        <v>267</v>
      </c>
      <c r="B41" s="523"/>
      <c r="C41" s="318">
        <v>2500000</v>
      </c>
    </row>
    <row r="42" spans="1:5" x14ac:dyDescent="0.25">
      <c r="A42" s="535" t="s">
        <v>86</v>
      </c>
      <c r="B42" s="535"/>
      <c r="C42" s="318" t="e">
        <f>MIN(C41,C40)</f>
        <v>#NUM!</v>
      </c>
    </row>
    <row r="43" spans="1:5" x14ac:dyDescent="0.25">
      <c r="A43" s="532" t="s">
        <v>268</v>
      </c>
      <c r="B43" s="534"/>
      <c r="C43" s="319">
        <f>IF(Main!E41=0,0,ROUND(IF(Main!E41&gt;0,(Main!F53+Main!F51-Main!F41)/Main!E41,""),4))</f>
        <v>0</v>
      </c>
    </row>
    <row r="44" spans="1:5" x14ac:dyDescent="0.25">
      <c r="A44" s="522" t="s">
        <v>269</v>
      </c>
      <c r="B44" s="523"/>
      <c r="C44" s="319"/>
    </row>
    <row r="45" spans="1:5" x14ac:dyDescent="0.25">
      <c r="A45" s="522" t="s">
        <v>270</v>
      </c>
      <c r="B45" s="523"/>
      <c r="C45" s="320">
        <v>0</v>
      </c>
    </row>
    <row r="46" spans="1:5" x14ac:dyDescent="0.25">
      <c r="A46" s="532" t="s">
        <v>271</v>
      </c>
      <c r="B46" s="534"/>
      <c r="C46" s="317" t="e">
        <f>(Total_Net_Annual_Income-Applicable_Living_Expenses)-(Other_Commits_Total_Annual)</f>
        <v>#NUM!</v>
      </c>
    </row>
    <row r="47" spans="1:5" x14ac:dyDescent="0.25">
      <c r="A47" s="41" t="s">
        <v>272</v>
      </c>
      <c r="B47" s="321"/>
      <c r="C47" s="317" t="e">
        <f>(ARA-(Other_Commits_Total_Monthly_Payment*12))</f>
        <v>#NUM!</v>
      </c>
    </row>
    <row r="48" spans="1:5" x14ac:dyDescent="0.25">
      <c r="A48" s="41" t="s">
        <v>273</v>
      </c>
      <c r="B48" s="321"/>
      <c r="C48" s="322" t="e">
        <f>IF(ARA_MONTHLY&gt;=0,1,0)</f>
        <v>#NUM!</v>
      </c>
    </row>
    <row r="49" spans="1:9" x14ac:dyDescent="0.25">
      <c r="A49" s="532" t="s">
        <v>274</v>
      </c>
      <c r="B49" s="533"/>
      <c r="C49" s="534"/>
    </row>
    <row r="50" spans="1:9" x14ac:dyDescent="0.25">
      <c r="A50" s="522" t="s">
        <v>275</v>
      </c>
      <c r="B50" s="523"/>
      <c r="C50" s="320" t="e">
        <f>AND(Loan_Investment=0,Other_Loans_Inv_Amount=0,Other_Loans_Inv_Payment=0,Applicant1_GARental=0,Applicant2_GARental=0,Applicant3_GARental=0,Applicant4_GARental=0,Applicant5_GARental=0,Applicant6_GARental=0,Company_NPBT_GARental=0)</f>
        <v>#REF!</v>
      </c>
    </row>
    <row r="51" spans="1:9" x14ac:dyDescent="0.25">
      <c r="A51" s="522" t="s">
        <v>276</v>
      </c>
      <c r="B51" s="523"/>
      <c r="C51" s="320" t="b">
        <v>0</v>
      </c>
    </row>
    <row r="52" spans="1:9" x14ac:dyDescent="0.25">
      <c r="A52" s="522" t="s">
        <v>277</v>
      </c>
      <c r="B52" s="523"/>
      <c r="C52" s="541" t="e">
        <f>IF(C50=TRUE,"Maximum Loan Amount",IF(C51=TRUE,"Maximum Loan Amount","Maximum Loan Amount *"))</f>
        <v>#REF!</v>
      </c>
      <c r="D52" s="542"/>
    </row>
    <row r="53" spans="1:9" x14ac:dyDescent="0.25">
      <c r="A53" s="1" t="s">
        <v>278</v>
      </c>
      <c r="B53" s="1">
        <f>SUM(B54:B54)</f>
        <v>0</v>
      </c>
      <c r="C53" s="543" t="s">
        <v>279</v>
      </c>
      <c r="D53" s="544"/>
      <c r="E53" s="544"/>
      <c r="F53" s="544"/>
      <c r="G53" s="544"/>
      <c r="H53" s="544"/>
      <c r="I53" s="545"/>
    </row>
    <row r="54" spans="1:9" x14ac:dyDescent="0.25">
      <c r="A54" s="173" t="s">
        <v>280</v>
      </c>
      <c r="B54" s="173">
        <f>IF(Company_NPBT_GAIncomePY=0,0,IF((Company_NPBT_GAIncomeMRY/Company_NPBT_GAIncomePY)&gt;1.25,1,0))</f>
        <v>0</v>
      </c>
      <c r="C54" s="538" t="s">
        <v>281</v>
      </c>
      <c r="D54" s="539"/>
      <c r="E54" s="539"/>
      <c r="F54" s="539"/>
      <c r="G54" s="539"/>
      <c r="H54" s="539"/>
      <c r="I54" s="540"/>
    </row>
    <row r="57" spans="1:9" x14ac:dyDescent="0.25">
      <c r="A57" t="s">
        <v>282</v>
      </c>
    </row>
    <row r="58" spans="1:9" x14ac:dyDescent="0.25">
      <c r="A58" t="s">
        <v>283</v>
      </c>
    </row>
  </sheetData>
  <mergeCells count="45">
    <mergeCell ref="D10:F10"/>
    <mergeCell ref="A1:C1"/>
    <mergeCell ref="A16:C16"/>
    <mergeCell ref="A10:B10"/>
    <mergeCell ref="A17:B17"/>
    <mergeCell ref="A8:B8"/>
    <mergeCell ref="A9:B9"/>
    <mergeCell ref="A11:B11"/>
    <mergeCell ref="A12:B12"/>
    <mergeCell ref="A18:B18"/>
    <mergeCell ref="A19:B19"/>
    <mergeCell ref="A25:B25"/>
    <mergeCell ref="A21:B21"/>
    <mergeCell ref="A20:B20"/>
    <mergeCell ref="A22:B22"/>
    <mergeCell ref="A23:B23"/>
    <mergeCell ref="A24:B24"/>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51:B51"/>
    <mergeCell ref="A34:B34"/>
    <mergeCell ref="A29:C29"/>
    <mergeCell ref="A27:C27"/>
    <mergeCell ref="A28:C28"/>
    <mergeCell ref="A31:B31"/>
    <mergeCell ref="A35:C35"/>
    <mergeCell ref="A39:B39"/>
    <mergeCell ref="A42:B42"/>
    <mergeCell ref="A38:B38"/>
    <mergeCell ref="A44:B44"/>
    <mergeCell ref="A45:B45"/>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zoomScaleNormal="100" workbookViewId="0">
      <pane xSplit="1" ySplit="1" topLeftCell="B2" activePane="bottomRight" state="frozen"/>
      <selection pane="topRight" activeCell="B1" sqref="B1"/>
      <selection pane="bottomLeft" activeCell="A2" sqref="A2"/>
      <selection pane="bottomRight" activeCell="M38" sqref="M38"/>
    </sheetView>
  </sheetViews>
  <sheetFormatPr defaultRowHeight="13.2" x14ac:dyDescent="0.25"/>
  <cols>
    <col min="1" max="1" width="31.44140625" bestFit="1" customWidth="1"/>
    <col min="2" max="2" width="9.44140625" customWidth="1"/>
    <col min="8" max="8" width="10.5546875" customWidth="1"/>
    <col min="9" max="18" width="9.44140625" bestFit="1" customWidth="1"/>
  </cols>
  <sheetData>
    <row r="1" spans="1:18" ht="28.8" x14ac:dyDescent="0.55000000000000004">
      <c r="A1" s="151" t="s">
        <v>284</v>
      </c>
      <c r="B1" s="174" t="s">
        <v>285</v>
      </c>
      <c r="C1" s="174"/>
      <c r="D1" s="174"/>
      <c r="E1" s="174"/>
      <c r="F1" s="174"/>
      <c r="G1" s="174"/>
      <c r="H1" s="174"/>
      <c r="I1" s="174"/>
      <c r="J1" s="174"/>
      <c r="K1" s="174"/>
      <c r="L1" s="174"/>
      <c r="M1" s="174"/>
      <c r="N1" s="174"/>
      <c r="O1" s="174"/>
      <c r="P1" s="174"/>
      <c r="Q1" s="174"/>
      <c r="R1" s="174"/>
    </row>
    <row r="2" spans="1:18" ht="38.4" customHeight="1" x14ac:dyDescent="0.5">
      <c r="A2" s="150" t="s">
        <v>286</v>
      </c>
      <c r="B2" s="194">
        <v>0</v>
      </c>
      <c r="C2" s="195">
        <v>27000</v>
      </c>
      <c r="D2" s="195">
        <v>41000</v>
      </c>
      <c r="E2" s="195">
        <v>54000</v>
      </c>
      <c r="F2" s="195">
        <v>68000</v>
      </c>
      <c r="G2" s="195">
        <v>82000</v>
      </c>
      <c r="H2" s="195">
        <v>109000</v>
      </c>
      <c r="I2" s="195">
        <v>136000</v>
      </c>
      <c r="J2" s="195">
        <v>163000</v>
      </c>
      <c r="K2" s="195">
        <v>191000</v>
      </c>
      <c r="L2" s="195">
        <v>218000</v>
      </c>
      <c r="M2" s="195">
        <v>272000</v>
      </c>
      <c r="N2" s="195">
        <v>341000</v>
      </c>
      <c r="O2" s="195">
        <v>409000</v>
      </c>
      <c r="P2" s="169"/>
      <c r="Q2" s="169"/>
      <c r="R2" s="169"/>
    </row>
    <row r="3" spans="1:18" ht="14.4" x14ac:dyDescent="0.3">
      <c r="A3" s="148" t="s">
        <v>221</v>
      </c>
      <c r="B3" s="209">
        <v>2836.4305247748898</v>
      </c>
      <c r="C3" s="209">
        <v>2836.4305247748898</v>
      </c>
      <c r="D3" s="209">
        <v>2910.6187478553738</v>
      </c>
      <c r="E3" s="209">
        <v>3019.5180612679123</v>
      </c>
      <c r="F3" s="209">
        <v>3217.5305728605795</v>
      </c>
      <c r="G3" s="209">
        <v>3490.9919845018176</v>
      </c>
      <c r="H3" s="209">
        <v>3888.1496020446393</v>
      </c>
      <c r="I3" s="209">
        <v>4225.2641454248223</v>
      </c>
      <c r="J3" s="209">
        <v>4630.2778518184405</v>
      </c>
      <c r="K3" s="209">
        <v>4844.7056983447783</v>
      </c>
      <c r="L3" s="209">
        <v>5095.3900658571911</v>
      </c>
      <c r="M3" s="209">
        <v>5694.0588993551173</v>
      </c>
      <c r="N3" s="209">
        <v>6401.7246461534305</v>
      </c>
      <c r="O3" s="209">
        <v>6570.3993377449988</v>
      </c>
      <c r="P3" s="149"/>
      <c r="Q3" s="149"/>
      <c r="R3" s="168"/>
    </row>
    <row r="4" spans="1:18" ht="14.4" x14ac:dyDescent="0.3">
      <c r="A4" s="148" t="s">
        <v>287</v>
      </c>
      <c r="B4" s="209">
        <v>2836.4305247748898</v>
      </c>
      <c r="C4" s="209">
        <v>2836.4305247748898</v>
      </c>
      <c r="D4" s="209">
        <v>3347.8956457467361</v>
      </c>
      <c r="E4" s="209">
        <v>3456.6916146828398</v>
      </c>
      <c r="F4" s="209">
        <v>3654.5162214999282</v>
      </c>
      <c r="G4" s="209">
        <v>3927.7181438198213</v>
      </c>
      <c r="H4" s="209">
        <v>4324.4988774092853</v>
      </c>
      <c r="I4" s="209">
        <v>4661.2935199074182</v>
      </c>
      <c r="J4" s="209">
        <v>5065.9228817970879</v>
      </c>
      <c r="K4" s="209">
        <v>5280.1472641566716</v>
      </c>
      <c r="L4" s="209">
        <v>5530.5937399780578</v>
      </c>
      <c r="M4" s="209">
        <v>6128.6944708197934</v>
      </c>
      <c r="N4" s="209">
        <v>6835.6886860255991</v>
      </c>
      <c r="O4" s="209">
        <v>7004.2033110964157</v>
      </c>
      <c r="P4" s="149"/>
      <c r="Q4" s="149"/>
      <c r="R4" s="149"/>
    </row>
    <row r="5" spans="1:18" ht="14.4" x14ac:dyDescent="0.3">
      <c r="A5" s="148" t="s">
        <v>288</v>
      </c>
      <c r="B5" s="209">
        <v>2836.4305247748898</v>
      </c>
      <c r="C5" s="209">
        <v>2836.4305247748898</v>
      </c>
      <c r="D5" s="209">
        <v>3701.9028594901461</v>
      </c>
      <c r="E5" s="209">
        <v>3811.1227521943051</v>
      </c>
      <c r="F5" s="209">
        <v>4009.7181601964589</v>
      </c>
      <c r="G5" s="209">
        <v>4283.9845681169954</v>
      </c>
      <c r="H5" s="209">
        <v>4682.3113147791419</v>
      </c>
      <c r="I5" s="209">
        <v>5020.4182370508997</v>
      </c>
      <c r="J5" s="209">
        <v>5426.6242049796756</v>
      </c>
      <c r="K5" s="209">
        <v>5641.6832717161105</v>
      </c>
      <c r="L5" s="209">
        <v>5893.1055871127937</v>
      </c>
      <c r="M5" s="209">
        <v>6493.5367495677601</v>
      </c>
      <c r="N5" s="209">
        <v>7203.2856847115518</v>
      </c>
      <c r="O5" s="209">
        <v>7372.4569147313277</v>
      </c>
      <c r="P5" s="149"/>
      <c r="Q5" s="149"/>
      <c r="R5" s="149"/>
    </row>
    <row r="6" spans="1:18" ht="14.4" x14ac:dyDescent="0.3">
      <c r="A6" s="148" t="s">
        <v>289</v>
      </c>
      <c r="B6" s="209">
        <v>2836.4305247748898</v>
      </c>
      <c r="C6" s="209">
        <v>2836.4305247748898</v>
      </c>
      <c r="D6" s="209">
        <v>3702</v>
      </c>
      <c r="E6" s="209">
        <v>4110.5917593402828</v>
      </c>
      <c r="F6" s="209">
        <v>4309.862717572968</v>
      </c>
      <c r="G6" s="209">
        <v>4585.0620884158561</v>
      </c>
      <c r="H6" s="209">
        <v>4984.7438047451751</v>
      </c>
      <c r="I6" s="209">
        <v>5324.0008382376991</v>
      </c>
      <c r="J6" s="209">
        <v>5731.588565527406</v>
      </c>
      <c r="K6" s="209">
        <v>5947.3791891658966</v>
      </c>
      <c r="L6" s="209">
        <v>6199.656747504041</v>
      </c>
      <c r="M6" s="209">
        <v>6802.13037122682</v>
      </c>
      <c r="N6" s="209">
        <v>7514.2936156687638</v>
      </c>
      <c r="O6" s="209">
        <v>7684.0403104518155</v>
      </c>
      <c r="P6" s="149"/>
      <c r="Q6" s="149"/>
      <c r="R6" s="149"/>
    </row>
    <row r="7" spans="1:18" ht="14.4" x14ac:dyDescent="0.3">
      <c r="A7" s="148"/>
      <c r="B7" s="209"/>
      <c r="C7" s="209"/>
      <c r="D7" s="209"/>
      <c r="E7" s="209"/>
      <c r="F7" s="209"/>
      <c r="G7" s="209"/>
      <c r="H7" s="209"/>
      <c r="I7" s="209"/>
      <c r="J7" s="209"/>
      <c r="K7" s="209"/>
      <c r="L7" s="209"/>
      <c r="M7" s="209"/>
      <c r="N7" s="209"/>
      <c r="O7" s="209"/>
      <c r="P7" s="149"/>
      <c r="Q7" s="149"/>
      <c r="R7" s="149"/>
    </row>
    <row r="8" spans="1:18" ht="14.4" x14ac:dyDescent="0.3">
      <c r="A8" s="148" t="s">
        <v>290</v>
      </c>
      <c r="B8" s="209">
        <v>1455.7892208916883</v>
      </c>
      <c r="C8" s="209">
        <v>1533.7819321731311</v>
      </c>
      <c r="D8" s="209">
        <v>1607.2568098786453</v>
      </c>
      <c r="E8" s="209">
        <v>1715.109019047344</v>
      </c>
      <c r="F8" s="209">
        <v>1911.2175709024352</v>
      </c>
      <c r="G8" s="209">
        <v>2182.0495598681814</v>
      </c>
      <c r="H8" s="209">
        <v>2575.3883700389583</v>
      </c>
      <c r="I8" s="209">
        <v>2909.2614424285593</v>
      </c>
      <c r="J8" s="209">
        <v>3310.3807980311199</v>
      </c>
      <c r="K8" s="209">
        <v>3522.7468531199293</v>
      </c>
      <c r="L8" s="209">
        <v>3771.0208028188008</v>
      </c>
      <c r="M8" s="209">
        <v>4363.9332326838949</v>
      </c>
      <c r="N8" s="209">
        <v>5064.7945286761515</v>
      </c>
      <c r="O8" s="209">
        <v>5231.847350748204</v>
      </c>
      <c r="P8" s="149"/>
      <c r="Q8" s="149"/>
      <c r="R8" s="149"/>
    </row>
    <row r="9" spans="1:18" ht="14.4" x14ac:dyDescent="0.3">
      <c r="A9" s="148" t="s">
        <v>291</v>
      </c>
      <c r="B9" s="209">
        <v>1455.7892208916883</v>
      </c>
      <c r="C9" s="209">
        <v>1995.686146850232</v>
      </c>
      <c r="D9" s="209">
        <v>2068.7035849340787</v>
      </c>
      <c r="E9" s="209">
        <v>2175.8843415509818</v>
      </c>
      <c r="F9" s="209">
        <v>2370.7719645192669</v>
      </c>
      <c r="G9" s="209">
        <v>2639.9178081529722</v>
      </c>
      <c r="H9" s="209">
        <v>3030.8077944815745</v>
      </c>
      <c r="I9" s="209">
        <v>3362.6022436758485</v>
      </c>
      <c r="J9" s="209">
        <v>3761.2243405520444</v>
      </c>
      <c r="K9" s="209">
        <v>3972.2682462512216</v>
      </c>
      <c r="L9" s="209">
        <v>4218.9964933843494</v>
      </c>
      <c r="M9" s="209">
        <v>4808.2175965300285</v>
      </c>
      <c r="N9" s="209">
        <v>5504.7155095082844</v>
      </c>
      <c r="O9" s="209">
        <v>5670.7282924908905</v>
      </c>
      <c r="P9" s="149"/>
      <c r="Q9" s="149"/>
      <c r="R9" s="149"/>
    </row>
    <row r="10" spans="1:18" ht="14.4" x14ac:dyDescent="0.3">
      <c r="A10" s="148" t="s">
        <v>292</v>
      </c>
      <c r="B10" s="209">
        <v>1455.7892208916883</v>
      </c>
      <c r="C10" s="209">
        <v>2535.0573925016461</v>
      </c>
      <c r="D10" s="209">
        <v>2608.1260873363235</v>
      </c>
      <c r="E10" s="209">
        <v>2715.3820859576385</v>
      </c>
      <c r="F10" s="209">
        <v>2910.4065272412558</v>
      </c>
      <c r="G10" s="209">
        <v>3179.7413099559544</v>
      </c>
      <c r="H10" s="209">
        <v>3570.9056951486418</v>
      </c>
      <c r="I10" s="209">
        <v>3902.9330657531627</v>
      </c>
      <c r="J10" s="209">
        <v>4301.8350004486656</v>
      </c>
      <c r="K10" s="209">
        <v>4513.0270591330554</v>
      </c>
      <c r="L10" s="209">
        <v>4759.9285292529767</v>
      </c>
      <c r="M10" s="209">
        <v>5349.5632477287527</v>
      </c>
      <c r="N10" s="209">
        <v>6046.550094152135</v>
      </c>
      <c r="O10" s="209">
        <v>6212.6794492831814</v>
      </c>
      <c r="P10" s="149"/>
      <c r="Q10" s="149"/>
      <c r="R10" s="149"/>
    </row>
    <row r="11" spans="1:18" ht="14.4" x14ac:dyDescent="0.3">
      <c r="A11" s="148" t="s">
        <v>293</v>
      </c>
      <c r="B11" s="209">
        <v>1455.7892208916883</v>
      </c>
      <c r="C11" s="209">
        <v>2535.0573925016461</v>
      </c>
      <c r="D11" s="209">
        <v>3147.5485897385684</v>
      </c>
      <c r="E11" s="209">
        <v>3254.8798303642948</v>
      </c>
      <c r="F11" s="209">
        <v>3450.0410899632457</v>
      </c>
      <c r="G11" s="209">
        <v>3719.5648117589367</v>
      </c>
      <c r="H11" s="209">
        <v>4111.0035958157096</v>
      </c>
      <c r="I11" s="209">
        <v>4443.263887830477</v>
      </c>
      <c r="J11" s="209">
        <v>4842.4456603452882</v>
      </c>
      <c r="K11" s="209">
        <v>5053.7858720148888</v>
      </c>
      <c r="L11" s="209">
        <v>5300.860565121603</v>
      </c>
      <c r="M11" s="209">
        <v>5890.908898927476</v>
      </c>
      <c r="N11" s="209">
        <v>6588.3846787959865</v>
      </c>
      <c r="O11" s="209">
        <v>6754.6306060754741</v>
      </c>
      <c r="P11" s="149"/>
      <c r="Q11" s="149"/>
      <c r="R11" s="149"/>
    </row>
    <row r="12" spans="1:18" ht="14.4" x14ac:dyDescent="0.3">
      <c r="A12" s="148"/>
    </row>
    <row r="13" spans="1:18" ht="14.4" x14ac:dyDescent="0.3">
      <c r="A13" s="148"/>
    </row>
    <row r="14" spans="1:18" ht="14.4" x14ac:dyDescent="0.3">
      <c r="A14" s="148"/>
    </row>
    <row r="15" spans="1:18" ht="36.6" x14ac:dyDescent="0.3">
      <c r="A15" s="171" t="s">
        <v>294</v>
      </c>
      <c r="B15" s="167">
        <f>ROUND(B2,0)</f>
        <v>0</v>
      </c>
      <c r="C15" s="167">
        <f>ROUND(C2,0)</f>
        <v>27000</v>
      </c>
      <c r="D15" s="167">
        <f t="shared" ref="D15:O15" si="0">ROUND(D2,0)</f>
        <v>41000</v>
      </c>
      <c r="E15" s="167">
        <f t="shared" si="0"/>
        <v>54000</v>
      </c>
      <c r="F15" s="167">
        <f t="shared" si="0"/>
        <v>68000</v>
      </c>
      <c r="G15" s="167">
        <f t="shared" si="0"/>
        <v>82000</v>
      </c>
      <c r="H15" s="167">
        <f t="shared" si="0"/>
        <v>109000</v>
      </c>
      <c r="I15" s="167">
        <f t="shared" si="0"/>
        <v>136000</v>
      </c>
      <c r="J15" s="167">
        <f t="shared" si="0"/>
        <v>163000</v>
      </c>
      <c r="K15" s="167">
        <f t="shared" si="0"/>
        <v>191000</v>
      </c>
      <c r="L15" s="167">
        <f t="shared" si="0"/>
        <v>218000</v>
      </c>
      <c r="M15" s="167">
        <f t="shared" si="0"/>
        <v>272000</v>
      </c>
      <c r="N15" s="167">
        <f t="shared" si="0"/>
        <v>341000</v>
      </c>
      <c r="O15" s="167">
        <f t="shared" si="0"/>
        <v>409000</v>
      </c>
      <c r="P15" s="167"/>
      <c r="Q15" s="167"/>
      <c r="R15" s="167"/>
    </row>
    <row r="16" spans="1:18" ht="14.4" x14ac:dyDescent="0.3">
      <c r="A16" s="148"/>
    </row>
    <row r="17" spans="1:15" ht="14.4" x14ac:dyDescent="0.3">
      <c r="A17" s="148"/>
    </row>
    <row r="19" spans="1:15" ht="14.4" x14ac:dyDescent="0.3">
      <c r="A19" s="148" t="s">
        <v>221</v>
      </c>
      <c r="B19" s="213">
        <v>2630</v>
      </c>
      <c r="C19" s="213">
        <v>2630.4728709928254</v>
      </c>
      <c r="D19" s="213">
        <v>2692.1087739448526</v>
      </c>
      <c r="E19" s="213">
        <v>2793.4763766568253</v>
      </c>
      <c r="F19" s="213">
        <v>2985.4725742507399</v>
      </c>
      <c r="G19" s="213">
        <v>3242.5238513550426</v>
      </c>
      <c r="H19" s="213">
        <v>3623.4834653733978</v>
      </c>
      <c r="I19" s="213">
        <v>3952.2669959578466</v>
      </c>
      <c r="J19" s="213">
        <v>4302.2028475014531</v>
      </c>
      <c r="K19" s="213">
        <v>4532.2523842218261</v>
      </c>
      <c r="L19" s="213">
        <v>4796.803070420613</v>
      </c>
      <c r="M19" s="213">
        <v>5332.9656150989986</v>
      </c>
      <c r="N19" s="213">
        <v>6053.8635265175471</v>
      </c>
      <c r="O19" s="213">
        <v>6147.1178137426059</v>
      </c>
    </row>
    <row r="20" spans="1:15" ht="14.4" x14ac:dyDescent="0.3">
      <c r="A20" s="148" t="s">
        <v>287</v>
      </c>
      <c r="B20" s="213">
        <v>2630</v>
      </c>
      <c r="C20" s="213">
        <v>2630</v>
      </c>
      <c r="D20" s="213">
        <v>3083.6249150272456</v>
      </c>
      <c r="E20" s="213">
        <v>3184.7514389994376</v>
      </c>
      <c r="F20" s="213">
        <v>3376.2910252246165</v>
      </c>
      <c r="G20" s="213">
        <v>3632.7309622394459</v>
      </c>
      <c r="H20" s="213">
        <v>4012.7845576530967</v>
      </c>
      <c r="I20" s="213">
        <v>4340.7861627187276</v>
      </c>
      <c r="J20" s="213">
        <v>4689.8897890699063</v>
      </c>
      <c r="K20" s="213">
        <v>4919.3922073461481</v>
      </c>
      <c r="L20" s="213">
        <v>5183.3137331079715</v>
      </c>
      <c r="M20" s="213">
        <v>5718.2011450563468</v>
      </c>
      <c r="N20" s="213">
        <v>6437.3845818812806</v>
      </c>
      <c r="O20" s="213">
        <v>6530.417088053412</v>
      </c>
    </row>
    <row r="21" spans="1:15" ht="14.4" x14ac:dyDescent="0.3">
      <c r="A21" s="148" t="s">
        <v>288</v>
      </c>
      <c r="B21" s="213">
        <v>2630</v>
      </c>
      <c r="C21" s="213">
        <v>2630</v>
      </c>
      <c r="D21" s="213">
        <v>3400.3602826133197</v>
      </c>
      <c r="E21" s="213">
        <v>3501.561775592249</v>
      </c>
      <c r="F21" s="213">
        <v>3693.2433474013574</v>
      </c>
      <c r="G21" s="213">
        <v>3949.8733881636977</v>
      </c>
      <c r="H21" s="213">
        <v>4330.2087183801132</v>
      </c>
      <c r="I21" s="213">
        <v>4658.4534724558271</v>
      </c>
      <c r="J21" s="213">
        <v>5007.8158876650477</v>
      </c>
      <c r="K21" s="213">
        <v>5237.4884354772021</v>
      </c>
      <c r="L21" s="213">
        <v>5501.6056073706532</v>
      </c>
      <c r="M21" s="213">
        <v>6036.8895314743022</v>
      </c>
      <c r="N21" s="213">
        <v>6756.6061055370228</v>
      </c>
      <c r="O21" s="213">
        <v>6849.7075798193882</v>
      </c>
    </row>
    <row r="22" spans="1:15" ht="14.4" x14ac:dyDescent="0.3">
      <c r="A22" s="148" t="s">
        <v>289</v>
      </c>
      <c r="B22" s="213">
        <v>2630</v>
      </c>
      <c r="C22" s="213">
        <v>2630</v>
      </c>
      <c r="D22" s="213">
        <v>3400</v>
      </c>
      <c r="E22" s="213">
        <v>3734.8953822217331</v>
      </c>
      <c r="F22" s="213">
        <v>3925.3274476108568</v>
      </c>
      <c r="G22" s="213">
        <v>4180.2846093638045</v>
      </c>
      <c r="H22" s="213">
        <v>4558.140657555381</v>
      </c>
      <c r="I22" s="213">
        <v>4884.2456909833227</v>
      </c>
      <c r="J22" s="213">
        <v>5231.330728878499</v>
      </c>
      <c r="K22" s="213">
        <v>5459.5061080895821</v>
      </c>
      <c r="L22" s="213">
        <v>5721.9015965696672</v>
      </c>
      <c r="M22" s="213">
        <v>6253.6961817596384</v>
      </c>
      <c r="N22" s="213">
        <v>6968.7211622400937</v>
      </c>
      <c r="O22" s="213">
        <v>7061.2157334281801</v>
      </c>
    </row>
    <row r="23" spans="1:15" ht="14.4" x14ac:dyDescent="0.3">
      <c r="A23" s="148"/>
      <c r="B23" s="213"/>
      <c r="C23" s="213"/>
      <c r="D23" s="213"/>
      <c r="E23" s="213"/>
      <c r="F23" s="213"/>
      <c r="G23" s="213"/>
      <c r="H23" s="213"/>
      <c r="I23" s="213"/>
      <c r="J23" s="213"/>
      <c r="K23" s="213"/>
      <c r="L23" s="213"/>
      <c r="M23" s="213"/>
      <c r="N23" s="213"/>
      <c r="O23" s="213"/>
    </row>
    <row r="24" spans="1:15" ht="14.4" x14ac:dyDescent="0.3">
      <c r="A24" s="148" t="s">
        <v>290</v>
      </c>
      <c r="B24" s="213">
        <v>1365.639874174879</v>
      </c>
      <c r="C24" s="213">
        <v>1438.2202928109198</v>
      </c>
      <c r="D24" s="213">
        <v>1499.8420410616836</v>
      </c>
      <c r="E24" s="213">
        <v>1601.1863635925163</v>
      </c>
      <c r="F24" s="213">
        <v>1793.1384627354475</v>
      </c>
      <c r="G24" s="213">
        <v>2050.1307059279934</v>
      </c>
      <c r="H24" s="213">
        <v>2431.00282395974</v>
      </c>
      <c r="I24" s="213">
        <v>2759.7108464862636</v>
      </c>
      <c r="J24" s="213">
        <v>3109.5663311975964</v>
      </c>
      <c r="K24" s="213">
        <v>3339.5630334789325</v>
      </c>
      <c r="L24" s="213">
        <v>3604.0529635465841</v>
      </c>
      <c r="M24" s="213">
        <v>4140.0923681262748</v>
      </c>
      <c r="N24" s="213">
        <v>4860.8247189455624</v>
      </c>
      <c r="O24" s="213">
        <v>4954.0575853955679</v>
      </c>
    </row>
    <row r="25" spans="1:15" ht="14.4" x14ac:dyDescent="0.3">
      <c r="A25" s="148" t="s">
        <v>291</v>
      </c>
      <c r="B25" s="213">
        <v>1366</v>
      </c>
      <c r="C25" s="213">
        <v>1883.1998287646095</v>
      </c>
      <c r="D25" s="213">
        <v>1944.6628177044743</v>
      </c>
      <c r="E25" s="213">
        <v>2045.7460206850371</v>
      </c>
      <c r="F25" s="213">
        <v>2237.2035720827862</v>
      </c>
      <c r="G25" s="213">
        <v>2493.5336783874154</v>
      </c>
      <c r="H25" s="213">
        <v>2873.4244924213276</v>
      </c>
      <c r="I25" s="213">
        <v>3201.2856086006882</v>
      </c>
      <c r="J25" s="213">
        <v>3550.2397163670162</v>
      </c>
      <c r="K25" s="213">
        <v>3779.6438325207832</v>
      </c>
      <c r="L25" s="213">
        <v>4043.4523138507775</v>
      </c>
      <c r="M25" s="213">
        <v>4578.110626750803</v>
      </c>
      <c r="N25" s="213">
        <v>5296.9860350051013</v>
      </c>
      <c r="O25" s="213">
        <v>5389.9786859723836</v>
      </c>
    </row>
    <row r="26" spans="1:15" ht="14.4" x14ac:dyDescent="0.3">
      <c r="A26" s="148" t="s">
        <v>292</v>
      </c>
      <c r="B26" s="213">
        <v>1366</v>
      </c>
      <c r="C26" s="213">
        <v>2385.345590049149</v>
      </c>
      <c r="D26" s="213">
        <v>2446.9824740790236</v>
      </c>
      <c r="E26" s="213">
        <v>2548.3516690798965</v>
      </c>
      <c r="F26" s="213">
        <v>2740.3509016394873</v>
      </c>
      <c r="G26" s="213">
        <v>2997.4062520343027</v>
      </c>
      <c r="H26" s="213">
        <v>3378.3718790325765</v>
      </c>
      <c r="I26" s="213">
        <v>3707.1606035785826</v>
      </c>
      <c r="J26" s="213">
        <v>4057.1019861217951</v>
      </c>
      <c r="K26" s="213">
        <v>4287.1551729551938</v>
      </c>
      <c r="L26" s="213">
        <v>4551.710028862798</v>
      </c>
      <c r="M26" s="213">
        <v>5087.8810565136528</v>
      </c>
      <c r="N26" s="213">
        <v>5808.7903704442215</v>
      </c>
      <c r="O26" s="213">
        <v>5902.0461179990853</v>
      </c>
    </row>
    <row r="27" spans="1:15" ht="14.4" x14ac:dyDescent="0.3">
      <c r="A27" s="148" t="s">
        <v>293</v>
      </c>
      <c r="B27" s="213">
        <v>1366</v>
      </c>
      <c r="C27" s="213">
        <v>2385</v>
      </c>
      <c r="D27" s="213">
        <v>2949.3021304535728</v>
      </c>
      <c r="E27" s="213">
        <v>3050.9573174747552</v>
      </c>
      <c r="F27" s="213">
        <v>3243.498231196188</v>
      </c>
      <c r="G27" s="213">
        <v>3501.2788256811896</v>
      </c>
      <c r="H27" s="213">
        <v>3883.3192656438259</v>
      </c>
      <c r="I27" s="213">
        <v>4213.0355985564775</v>
      </c>
      <c r="J27" s="213">
        <v>4563.9642558765727</v>
      </c>
      <c r="K27" s="213">
        <v>4794.6665133896031</v>
      </c>
      <c r="L27" s="213">
        <v>5059.9677438748186</v>
      </c>
      <c r="M27" s="213">
        <v>5597.6514862765034</v>
      </c>
      <c r="N27" s="213">
        <v>6320.5947058833408</v>
      </c>
      <c r="O27" s="213">
        <v>6414.1135500257878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5"/>
  <sheetViews>
    <sheetView workbookViewId="0">
      <pane ySplit="3" topLeftCell="A21" activePane="bottomLeft" state="frozen"/>
      <selection pane="bottomLeft" activeCell="C46" sqref="C46"/>
    </sheetView>
  </sheetViews>
  <sheetFormatPr defaultColWidth="8.88671875" defaultRowHeight="13.8" x14ac:dyDescent="0.3"/>
  <cols>
    <col min="1" max="1" width="8.88671875" style="145"/>
    <col min="2" max="2" width="11.5546875" style="145" customWidth="1"/>
    <col min="3" max="3" width="96.44140625" style="145" customWidth="1"/>
    <col min="4" max="16384" width="8.88671875" style="145"/>
  </cols>
  <sheetData>
    <row r="1" spans="1:3" ht="14.4" x14ac:dyDescent="0.3">
      <c r="A1" s="554" t="s">
        <v>295</v>
      </c>
      <c r="B1" s="554"/>
      <c r="C1" s="554"/>
    </row>
    <row r="3" spans="1:3" ht="14.4" x14ac:dyDescent="0.3">
      <c r="A3" s="144" t="s">
        <v>296</v>
      </c>
      <c r="B3" s="144" t="s">
        <v>297</v>
      </c>
      <c r="C3" s="143" t="s">
        <v>298</v>
      </c>
    </row>
    <row r="4" spans="1:3" ht="27.6" x14ac:dyDescent="0.3">
      <c r="A4" s="170">
        <v>9.8000000000000007</v>
      </c>
      <c r="B4" s="146">
        <v>42052</v>
      </c>
      <c r="C4" s="147" t="s">
        <v>299</v>
      </c>
    </row>
    <row r="5" spans="1:3" ht="27.6" x14ac:dyDescent="0.3">
      <c r="A5" s="170">
        <v>10</v>
      </c>
      <c r="B5" s="146">
        <v>42052</v>
      </c>
      <c r="C5" s="147" t="s">
        <v>300</v>
      </c>
    </row>
    <row r="6" spans="1:3" x14ac:dyDescent="0.3">
      <c r="A6" s="170">
        <v>10.1</v>
      </c>
      <c r="B6" s="146">
        <v>42061</v>
      </c>
      <c r="C6" s="147" t="s">
        <v>301</v>
      </c>
    </row>
    <row r="7" spans="1:3" ht="27.6" x14ac:dyDescent="0.3">
      <c r="A7" s="170">
        <v>10.199999999999999</v>
      </c>
      <c r="B7" s="146">
        <v>42144</v>
      </c>
      <c r="C7" s="147" t="s">
        <v>302</v>
      </c>
    </row>
    <row r="8" spans="1:3" x14ac:dyDescent="0.3">
      <c r="A8" s="170">
        <v>10.3</v>
      </c>
      <c r="B8" s="146">
        <v>42255</v>
      </c>
      <c r="C8" s="147" t="s">
        <v>303</v>
      </c>
    </row>
    <row r="9" spans="1:3" ht="27.6" x14ac:dyDescent="0.3">
      <c r="A9" s="170">
        <v>10.4</v>
      </c>
      <c r="B9" s="146">
        <v>42257</v>
      </c>
      <c r="C9" s="147" t="s">
        <v>304</v>
      </c>
    </row>
    <row r="10" spans="1:3" ht="27.6" x14ac:dyDescent="0.3">
      <c r="A10" s="170">
        <v>10.5</v>
      </c>
      <c r="B10" s="146">
        <v>42278</v>
      </c>
      <c r="C10" s="147" t="s">
        <v>305</v>
      </c>
    </row>
    <row r="11" spans="1:3" x14ac:dyDescent="0.3">
      <c r="A11" s="170">
        <v>10.6</v>
      </c>
      <c r="B11" s="146">
        <v>42305</v>
      </c>
      <c r="C11" s="147" t="s">
        <v>306</v>
      </c>
    </row>
    <row r="12" spans="1:3" x14ac:dyDescent="0.3">
      <c r="A12" s="170">
        <v>10.7</v>
      </c>
      <c r="B12" s="146">
        <v>42328</v>
      </c>
      <c r="C12" s="147" t="s">
        <v>307</v>
      </c>
    </row>
    <row r="13" spans="1:3" ht="41.4" x14ac:dyDescent="0.3">
      <c r="A13" s="170">
        <v>10.8</v>
      </c>
      <c r="B13" s="146">
        <v>42517</v>
      </c>
      <c r="C13" s="147" t="s">
        <v>308</v>
      </c>
    </row>
    <row r="14" spans="1:3" x14ac:dyDescent="0.3">
      <c r="A14" s="170">
        <v>10.81</v>
      </c>
      <c r="B14" s="146">
        <v>42625</v>
      </c>
      <c r="C14" s="147" t="s">
        <v>309</v>
      </c>
    </row>
    <row r="15" spans="1:3" x14ac:dyDescent="0.3">
      <c r="A15" s="170">
        <v>10.82</v>
      </c>
      <c r="B15" s="146">
        <v>42727</v>
      </c>
      <c r="C15" s="147" t="s">
        <v>310</v>
      </c>
    </row>
    <row r="16" spans="1:3" x14ac:dyDescent="0.3">
      <c r="A16" s="170">
        <v>10.83</v>
      </c>
      <c r="B16" s="146">
        <v>42793</v>
      </c>
      <c r="C16" s="147" t="s">
        <v>311</v>
      </c>
    </row>
    <row r="17" spans="1:3" x14ac:dyDescent="0.3">
      <c r="A17" s="170">
        <v>11</v>
      </c>
      <c r="B17" s="146">
        <v>42815</v>
      </c>
      <c r="C17" s="147" t="s">
        <v>312</v>
      </c>
    </row>
    <row r="18" spans="1:3" x14ac:dyDescent="0.3">
      <c r="A18" s="170">
        <v>11.1</v>
      </c>
      <c r="B18" s="146">
        <v>42829</v>
      </c>
      <c r="C18" s="147" t="s">
        <v>313</v>
      </c>
    </row>
    <row r="19" spans="1:3" x14ac:dyDescent="0.3">
      <c r="A19" s="170">
        <v>11.12</v>
      </c>
      <c r="B19" s="146">
        <v>42895</v>
      </c>
      <c r="C19" s="147" t="s">
        <v>314</v>
      </c>
    </row>
    <row r="20" spans="1:3" x14ac:dyDescent="0.3">
      <c r="A20" s="170">
        <v>11.14</v>
      </c>
      <c r="B20" s="146">
        <v>42963</v>
      </c>
      <c r="C20" s="147" t="s">
        <v>315</v>
      </c>
    </row>
    <row r="21" spans="1:3" ht="42" customHeight="1" x14ac:dyDescent="0.3">
      <c r="A21" s="170">
        <v>12</v>
      </c>
      <c r="B21" s="146">
        <v>42963</v>
      </c>
      <c r="C21" s="147" t="s">
        <v>316</v>
      </c>
    </row>
    <row r="22" spans="1:3" x14ac:dyDescent="0.3">
      <c r="A22" s="170">
        <v>12.01</v>
      </c>
      <c r="B22" s="146">
        <v>42964</v>
      </c>
      <c r="C22" s="147" t="s">
        <v>317</v>
      </c>
    </row>
    <row r="23" spans="1:3" ht="27.6" x14ac:dyDescent="0.3">
      <c r="A23" s="170">
        <v>12.02</v>
      </c>
      <c r="B23" s="146">
        <v>43059</v>
      </c>
      <c r="C23" s="147" t="s">
        <v>318</v>
      </c>
    </row>
    <row r="24" spans="1:3" x14ac:dyDescent="0.3">
      <c r="A24" s="170">
        <v>12.03</v>
      </c>
      <c r="B24" s="146">
        <v>43152</v>
      </c>
      <c r="C24" s="147" t="s">
        <v>319</v>
      </c>
    </row>
    <row r="25" spans="1:3" x14ac:dyDescent="0.3">
      <c r="A25" s="170">
        <v>12.04</v>
      </c>
      <c r="B25" s="146">
        <v>43249</v>
      </c>
      <c r="C25" s="147" t="s">
        <v>320</v>
      </c>
    </row>
    <row r="26" spans="1:3" x14ac:dyDescent="0.3">
      <c r="A26" s="170">
        <v>12.05</v>
      </c>
      <c r="B26" s="146">
        <v>43301</v>
      </c>
      <c r="C26" s="147" t="s">
        <v>321</v>
      </c>
    </row>
    <row r="27" spans="1:3" ht="27.6" x14ac:dyDescent="0.3">
      <c r="A27" s="170">
        <v>12.06</v>
      </c>
      <c r="B27" s="146">
        <v>43412</v>
      </c>
      <c r="C27" s="147" t="s">
        <v>322</v>
      </c>
    </row>
    <row r="28" spans="1:3" ht="27.6" x14ac:dyDescent="0.3">
      <c r="A28" s="170">
        <v>13.02</v>
      </c>
      <c r="B28" s="146">
        <v>43412</v>
      </c>
      <c r="C28" s="147" t="s">
        <v>323</v>
      </c>
    </row>
    <row r="29" spans="1:3" x14ac:dyDescent="0.3">
      <c r="A29" s="170">
        <v>13.03</v>
      </c>
      <c r="B29" s="146">
        <v>43542</v>
      </c>
      <c r="C29" s="147" t="s">
        <v>324</v>
      </c>
    </row>
    <row r="30" spans="1:3" x14ac:dyDescent="0.3">
      <c r="A30" s="170">
        <v>13.04</v>
      </c>
      <c r="B30" s="146">
        <v>43733</v>
      </c>
      <c r="C30" s="147" t="s">
        <v>325</v>
      </c>
    </row>
    <row r="31" spans="1:3" x14ac:dyDescent="0.3">
      <c r="A31" s="170">
        <v>13.06</v>
      </c>
      <c r="B31" s="146">
        <v>43920</v>
      </c>
      <c r="C31" s="145" t="s">
        <v>326</v>
      </c>
    </row>
    <row r="32" spans="1:3" x14ac:dyDescent="0.3">
      <c r="A32" s="170">
        <v>13.07</v>
      </c>
      <c r="B32" s="146">
        <v>44004</v>
      </c>
      <c r="C32" s="145" t="s">
        <v>327</v>
      </c>
    </row>
    <row r="33" spans="1:3" x14ac:dyDescent="0.3">
      <c r="A33" s="170">
        <v>13.08</v>
      </c>
      <c r="B33" s="146">
        <v>44151</v>
      </c>
      <c r="C33" s="145" t="s">
        <v>328</v>
      </c>
    </row>
    <row r="34" spans="1:3" x14ac:dyDescent="0.3">
      <c r="A34" s="170">
        <v>13.09</v>
      </c>
      <c r="C34" s="145" t="s">
        <v>329</v>
      </c>
    </row>
    <row r="35" spans="1:3" x14ac:dyDescent="0.3">
      <c r="A35" s="170">
        <v>13.1</v>
      </c>
      <c r="B35" s="146">
        <v>44382</v>
      </c>
      <c r="C35" s="145" t="s">
        <v>330</v>
      </c>
    </row>
    <row r="36" spans="1:3" x14ac:dyDescent="0.3">
      <c r="A36" s="170">
        <v>13.11</v>
      </c>
      <c r="B36" s="146">
        <v>44477</v>
      </c>
      <c r="C36" s="145" t="s">
        <v>331</v>
      </c>
    </row>
    <row r="37" spans="1:3" x14ac:dyDescent="0.3">
      <c r="A37" s="170">
        <v>13.12</v>
      </c>
      <c r="B37" s="146">
        <v>44501</v>
      </c>
      <c r="C37" s="145" t="s">
        <v>332</v>
      </c>
    </row>
    <row r="38" spans="1:3" x14ac:dyDescent="0.3">
      <c r="A38" s="170">
        <v>13.13</v>
      </c>
      <c r="B38" s="146">
        <v>44785</v>
      </c>
      <c r="C38" s="145" t="s">
        <v>333</v>
      </c>
    </row>
    <row r="39" spans="1:3" x14ac:dyDescent="0.3">
      <c r="A39" s="211">
        <v>13.14</v>
      </c>
      <c r="B39" s="146">
        <v>45036</v>
      </c>
      <c r="C39" s="145" t="s">
        <v>334</v>
      </c>
    </row>
    <row r="40" spans="1:3" x14ac:dyDescent="0.3">
      <c r="A40" s="211">
        <v>13.15</v>
      </c>
      <c r="B40" s="212">
        <v>45352</v>
      </c>
      <c r="C40" s="145" t="s">
        <v>335</v>
      </c>
    </row>
    <row r="41" spans="1:3" x14ac:dyDescent="0.3">
      <c r="A41" s="211">
        <v>13.16</v>
      </c>
      <c r="B41" s="146">
        <v>45474</v>
      </c>
      <c r="C41" s="145" t="s">
        <v>336</v>
      </c>
    </row>
    <row r="42" spans="1:3" x14ac:dyDescent="0.3">
      <c r="A42" s="211">
        <v>13.17</v>
      </c>
      <c r="B42" s="212">
        <v>45689</v>
      </c>
      <c r="C42" s="145" t="s">
        <v>337</v>
      </c>
    </row>
    <row r="43" spans="1:3" x14ac:dyDescent="0.3">
      <c r="A43" s="211">
        <v>13.18</v>
      </c>
      <c r="B43" s="212">
        <v>45870</v>
      </c>
      <c r="C43" s="145" t="s">
        <v>338</v>
      </c>
    </row>
    <row r="44" spans="1:3" x14ac:dyDescent="0.3">
      <c r="A44" s="211">
        <v>13.21</v>
      </c>
      <c r="B44" s="212">
        <v>46113</v>
      </c>
      <c r="C44" s="145" t="s">
        <v>339</v>
      </c>
    </row>
    <row r="45" spans="1:3" x14ac:dyDescent="0.3">
      <c r="A45" s="145">
        <v>13.22</v>
      </c>
      <c r="B45" s="212">
        <v>46143</v>
      </c>
      <c r="C45" s="145" t="s">
        <v>340</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3.2" x14ac:dyDescent="0.25"/>
  <cols>
    <col min="2" max="2" width="13.109375" bestFit="1" customWidth="1"/>
    <col min="3" max="3" width="14.44140625" customWidth="1"/>
    <col min="4" max="4" width="22.5546875" style="55" customWidth="1"/>
    <col min="5" max="6" width="11.109375" bestFit="1" customWidth="1"/>
    <col min="7" max="14" width="14.109375" bestFit="1" customWidth="1"/>
    <col min="15" max="22" width="11.109375" bestFit="1" customWidth="1"/>
  </cols>
  <sheetData>
    <row r="1" spans="1:22" ht="40.200000000000003" thickBot="1" x14ac:dyDescent="0.3">
      <c r="B1" s="555" t="s">
        <v>341</v>
      </c>
      <c r="C1" s="556"/>
      <c r="D1" s="557"/>
      <c r="E1" s="69" t="s">
        <v>220</v>
      </c>
      <c r="F1" s="67" t="s">
        <v>221</v>
      </c>
      <c r="G1" s="67" t="s">
        <v>222</v>
      </c>
      <c r="H1" s="67" t="s">
        <v>223</v>
      </c>
      <c r="I1" s="67" t="s">
        <v>224</v>
      </c>
      <c r="J1" s="67" t="s">
        <v>225</v>
      </c>
      <c r="K1" s="67" t="s">
        <v>226</v>
      </c>
      <c r="L1" s="67" t="s">
        <v>227</v>
      </c>
      <c r="M1" s="67" t="s">
        <v>228</v>
      </c>
      <c r="N1" s="67" t="s">
        <v>229</v>
      </c>
      <c r="O1" s="68" t="s">
        <v>230</v>
      </c>
      <c r="P1" s="68" t="s">
        <v>231</v>
      </c>
      <c r="Q1" s="68" t="s">
        <v>232</v>
      </c>
      <c r="R1" s="68" t="s">
        <v>233</v>
      </c>
      <c r="S1" s="68" t="s">
        <v>234</v>
      </c>
      <c r="T1" s="68" t="s">
        <v>235</v>
      </c>
      <c r="U1" s="68" t="s">
        <v>236</v>
      </c>
      <c r="V1" s="68" t="s">
        <v>237</v>
      </c>
    </row>
    <row r="2" spans="1:22" s="56" customFormat="1" ht="39.6" x14ac:dyDescent="0.25">
      <c r="B2" s="70" t="s">
        <v>342</v>
      </c>
      <c r="C2" s="70" t="s">
        <v>343</v>
      </c>
      <c r="D2" s="70" t="s">
        <v>344</v>
      </c>
      <c r="E2" s="66">
        <v>339.5</v>
      </c>
      <c r="F2" s="66">
        <v>493</v>
      </c>
      <c r="G2" s="66">
        <f>F2+120</f>
        <v>613</v>
      </c>
      <c r="H2" s="66">
        <f>G2+120</f>
        <v>733</v>
      </c>
      <c r="I2" s="66">
        <f>H2+120</f>
        <v>853</v>
      </c>
      <c r="J2" s="66">
        <f>I2+120</f>
        <v>973</v>
      </c>
      <c r="K2" s="323">
        <f>J2+(J2-I2)</f>
        <v>1093</v>
      </c>
      <c r="L2" s="323">
        <f>K2+(K2-J2)</f>
        <v>1213</v>
      </c>
      <c r="M2" s="323">
        <f>L2+(L2-K2)</f>
        <v>1333</v>
      </c>
      <c r="N2" s="323">
        <f>M2+(M2-L2)</f>
        <v>1453</v>
      </c>
      <c r="O2" s="66">
        <f>E2+120</f>
        <v>459.5</v>
      </c>
      <c r="P2" s="66">
        <f>O2+120</f>
        <v>579.5</v>
      </c>
      <c r="Q2" s="66">
        <f>P2+120</f>
        <v>699.5</v>
      </c>
      <c r="R2" s="66">
        <f>Q2+120</f>
        <v>819.5</v>
      </c>
      <c r="S2" s="323">
        <f>R2+(R2-Q2)</f>
        <v>939.5</v>
      </c>
      <c r="T2" s="323">
        <f>S2+(S2-R2)</f>
        <v>1059.5</v>
      </c>
      <c r="U2" s="323">
        <f>T2+(T2-S2)</f>
        <v>1179.5</v>
      </c>
      <c r="V2" s="323">
        <f>U2+(U2-T2)</f>
        <v>1299.5</v>
      </c>
    </row>
    <row r="3" spans="1:22" x14ac:dyDescent="0.25">
      <c r="B3" s="59" t="s">
        <v>219</v>
      </c>
      <c r="C3" s="59"/>
      <c r="D3" s="60"/>
      <c r="E3" s="59"/>
      <c r="F3" s="59"/>
      <c r="G3" s="59"/>
      <c r="H3" s="59"/>
      <c r="I3" s="59"/>
      <c r="J3" s="59"/>
      <c r="K3" s="59"/>
      <c r="L3" s="59"/>
      <c r="M3" s="59"/>
      <c r="N3" s="59"/>
      <c r="O3" s="59"/>
      <c r="P3" s="59"/>
      <c r="Q3" s="59"/>
      <c r="R3" s="59"/>
      <c r="S3" s="59"/>
      <c r="T3" s="59"/>
      <c r="U3" s="59"/>
      <c r="V3" s="59"/>
    </row>
    <row r="4" spans="1:22" x14ac:dyDescent="0.25">
      <c r="B4" s="61" t="s">
        <v>345</v>
      </c>
      <c r="C4" s="62" t="s">
        <v>346</v>
      </c>
      <c r="D4" s="63" t="s">
        <v>347</v>
      </c>
      <c r="E4" s="64">
        <f>(E$2*52)/12</f>
        <v>1471.1666666666667</v>
      </c>
      <c r="F4" s="64">
        <f t="shared" ref="F4:V4" si="0">(F$2*52)/12</f>
        <v>2136.3333333333335</v>
      </c>
      <c r="G4" s="64">
        <f t="shared" si="0"/>
        <v>2656.3333333333335</v>
      </c>
      <c r="H4" s="64">
        <f t="shared" si="0"/>
        <v>3176.3333333333335</v>
      </c>
      <c r="I4" s="64">
        <f t="shared" si="0"/>
        <v>3696.3333333333335</v>
      </c>
      <c r="J4" s="64">
        <f t="shared" si="0"/>
        <v>4216.333333333333</v>
      </c>
      <c r="K4" s="64">
        <f t="shared" si="0"/>
        <v>4736.333333333333</v>
      </c>
      <c r="L4" s="64">
        <f t="shared" si="0"/>
        <v>5256.333333333333</v>
      </c>
      <c r="M4" s="64">
        <f t="shared" si="0"/>
        <v>5776.333333333333</v>
      </c>
      <c r="N4" s="64">
        <f t="shared" si="0"/>
        <v>6296.333333333333</v>
      </c>
      <c r="O4" s="64">
        <f t="shared" si="0"/>
        <v>1991.1666666666667</v>
      </c>
      <c r="P4" s="64">
        <f t="shared" si="0"/>
        <v>2511.1666666666665</v>
      </c>
      <c r="Q4" s="64">
        <f t="shared" si="0"/>
        <v>3031.1666666666665</v>
      </c>
      <c r="R4" s="64">
        <f t="shared" si="0"/>
        <v>3551.1666666666665</v>
      </c>
      <c r="S4" s="64">
        <f t="shared" si="0"/>
        <v>4071.1666666666665</v>
      </c>
      <c r="T4" s="64">
        <f t="shared" si="0"/>
        <v>4591.166666666667</v>
      </c>
      <c r="U4" s="64">
        <f t="shared" si="0"/>
        <v>5111.166666666667</v>
      </c>
      <c r="V4" s="64">
        <f t="shared" si="0"/>
        <v>5631.166666666667</v>
      </c>
    </row>
    <row r="5" spans="1:22" x14ac:dyDescent="0.25">
      <c r="B5" s="59"/>
      <c r="C5" s="59"/>
      <c r="D5" s="60"/>
      <c r="E5" s="59"/>
      <c r="F5" s="59"/>
      <c r="G5" s="59"/>
      <c r="H5" s="59"/>
      <c r="I5" s="65"/>
      <c r="J5" s="65"/>
      <c r="K5" s="65"/>
      <c r="L5" s="65"/>
      <c r="M5" s="65"/>
      <c r="N5" s="65"/>
      <c r="O5" s="65"/>
      <c r="P5" s="65"/>
      <c r="Q5" s="65"/>
      <c r="R5" s="65"/>
      <c r="S5" s="65"/>
      <c r="T5" s="65"/>
      <c r="U5" s="65"/>
      <c r="V5" s="65"/>
    </row>
    <row r="6" spans="1:22" x14ac:dyDescent="0.25">
      <c r="G6" s="142">
        <f>G4-F4</f>
        <v>520</v>
      </c>
      <c r="H6" s="142">
        <f t="shared" ref="H6:N6" si="1">H4-G4</f>
        <v>520</v>
      </c>
      <c r="I6" s="142">
        <f t="shared" si="1"/>
        <v>520</v>
      </c>
      <c r="J6" s="142">
        <f t="shared" si="1"/>
        <v>519.99999999999955</v>
      </c>
      <c r="K6" s="142">
        <f t="shared" si="1"/>
        <v>520</v>
      </c>
      <c r="L6" s="142">
        <f t="shared" si="1"/>
        <v>520</v>
      </c>
      <c r="M6" s="142">
        <f t="shared" si="1"/>
        <v>520</v>
      </c>
      <c r="N6" s="142">
        <f t="shared" si="1"/>
        <v>520</v>
      </c>
      <c r="O6" s="142">
        <f>O4-E4</f>
        <v>520</v>
      </c>
      <c r="P6" s="142">
        <f>P4-O4</f>
        <v>519.99999999999977</v>
      </c>
      <c r="Q6" s="142">
        <f t="shared" ref="Q6:V6" si="2">Q4-P4</f>
        <v>520</v>
      </c>
      <c r="R6" s="142">
        <f t="shared" si="2"/>
        <v>520</v>
      </c>
      <c r="S6" s="142">
        <f t="shared" si="2"/>
        <v>520</v>
      </c>
      <c r="T6" s="142">
        <f t="shared" si="2"/>
        <v>520.00000000000045</v>
      </c>
      <c r="U6" s="142">
        <f t="shared" si="2"/>
        <v>520</v>
      </c>
      <c r="V6" s="142">
        <f t="shared" si="2"/>
        <v>520</v>
      </c>
    </row>
    <row r="7" spans="1:22" x14ac:dyDescent="0.25">
      <c r="I7" s="38"/>
    </row>
    <row r="8" spans="1:22" x14ac:dyDescent="0.25">
      <c r="A8" s="58" t="s">
        <v>348</v>
      </c>
      <c r="B8" s="57" t="s">
        <v>349</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882e92-7048-47ff-aed4-640a6993bfb9">
      <Terms xmlns="http://schemas.microsoft.com/office/infopath/2007/PartnerControls"/>
    </lcf76f155ced4ddcb4097134ff3c332f>
    <TaxCatchAll xmlns="b517f410-3b25-4960-9412-354a7c27fc5e" xsi:nil="true"/>
    <Business_x0020_Unit xmlns="4a882e92-7048-47ff-aed4-640a6993bfb9" xsi:nil="true"/>
    <_Flow_SignoffStatus xmlns="4a882e92-7048-47ff-aed4-640a6993b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df50001ccdfed38783c900eed6eacd56">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083183ccfa005bc3976d8cac99e1096b"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BA250E-8C2A-4234-B7AA-7BCD01E34686}">
  <ds:schemaRefs>
    <ds:schemaRef ds:uri="http://schemas.microsoft.com/office/2006/metadata/properties"/>
    <ds:schemaRef ds:uri="http://schemas.microsoft.com/office/infopath/2007/PartnerControls"/>
    <ds:schemaRef ds:uri="4a882e92-7048-47ff-aed4-640a6993bfb9"/>
    <ds:schemaRef ds:uri="b517f410-3b25-4960-9412-354a7c27fc5e"/>
  </ds:schemaRefs>
</ds:datastoreItem>
</file>

<file path=customXml/itemProps2.xml><?xml version="1.0" encoding="utf-8"?>
<ds:datastoreItem xmlns:ds="http://schemas.openxmlformats.org/officeDocument/2006/customXml" ds:itemID="{2DECC6F6-1CB5-4C2C-9069-5F12321F4FEF}">
  <ds:schemaRefs>
    <ds:schemaRef ds:uri="http://schemas.microsoft.com/sharepoint/v3/contenttype/forms"/>
  </ds:schemaRefs>
</ds:datastoreItem>
</file>

<file path=customXml/itemProps3.xml><?xml version="1.0" encoding="utf-8"?>
<ds:datastoreItem xmlns:ds="http://schemas.openxmlformats.org/officeDocument/2006/customXml" ds:itemID="{22247C85-CFC1-4DE6-B774-966E48E2E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882e92-7048-47ff-aed4-640a6993bfb9"/>
    <ds:schemaRef ds:uri="b517f410-3b25-4960-9412-354a7c27f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168</vt:i4>
      </vt:variant>
    </vt:vector>
  </HeadingPairs>
  <TitlesOfParts>
    <vt:vector size="176"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PrintCopy!Company_NPBT_GAIncome</vt:lpstr>
      <vt:lpstr>PrintCopy!Company_NPBT_GAIncomeMRY</vt:lpstr>
      <vt:lpstr>PrintCopy!Company_NPBT_GAIncomePY</vt:lpstr>
      <vt:lpstr>Company_NPBT_GAIncomePY</vt:lpstr>
      <vt:lpstr>PrintCopy!Company_NPBT_GARental</vt:lpstr>
      <vt:lpstr>CompanyRentalAllowance</vt:lpstr>
      <vt:lpstr>CompanyTaxRate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Other_CreditCard_Amigo_Limits</vt:lpstr>
      <vt:lpstr>Other_CreditCard_Banks_Limits</vt:lpstr>
      <vt:lpstr>Other_CreditCard_CFCU_Limits</vt:lpstr>
      <vt:lpstr>PrintCopy!Other_CreditCard_Limits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Manager/>
  <Company>Australian Mortgage Securities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James Jarvis</cp:lastModifiedBy>
  <cp:revision/>
  <dcterms:created xsi:type="dcterms:W3CDTF">2001-08-19T05:30:08Z</dcterms:created>
  <dcterms:modified xsi:type="dcterms:W3CDTF">2026-06-10T05:49:17Z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