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cfcazurehome-my.sharepoint.com/personal/jparsons_communityfirst_com_au/Documents/Desktop/"/>
    </mc:Choice>
  </mc:AlternateContent>
  <xr:revisionPtr revIDLastSave="0" documentId="8_{2141060D-7F92-423F-AD86-C8399F4FBA7F}" xr6:coauthVersionLast="47" xr6:coauthVersionMax="47" xr10:uidLastSave="{00000000-0000-0000-0000-000000000000}"/>
  <workbookProtection workbookAlgorithmName="SHA-512" workbookHashValue="SH26Q93jbp2IRphIXiJIXVI5KXnIgr8MRQPoKpkGTUvwajtKHKFbq8ytMXFmrJsXBp5UJYbTGgqCZ3Y9kJ0aeQ==" workbookSaltValue="6Js7tuVUJH9CyE3NBho7IQ==" workbookSpinCount="100000" lockStructure="1"/>
  <bookViews>
    <workbookView xWindow="-46188" yWindow="5076" windowWidth="23256" windowHeight="12456" firstSheet="1" activeTab="1" xr2:uid="{00000000-000D-0000-FFFF-FFFF00000000}"/>
  </bookViews>
  <sheets>
    <sheet name="Help" sheetId="4" r:id="rId1"/>
    <sheet name="Main" sheetId="1" r:id="rId2"/>
    <sheet name="PrintCopy" sheetId="9" state="hidden" r:id="rId3"/>
    <sheet name="CalculationsReference" sheetId="3" state="hidden" r:id="rId4"/>
    <sheet name="HiddenReference" sheetId="2" state="hidden" r:id="rId5"/>
    <sheet name="HEM Data" sheetId="11" state="hidden" r:id="rId6"/>
    <sheet name="Change Log" sheetId="10" state="hidden" r:id="rId7"/>
    <sheet name="HPI - Extended Compositions" sheetId="6" state="hidden" r:id="rId8"/>
  </sheets>
  <definedNames>
    <definedName name="Adult_Couples" localSheetId="2">PrintCopy!#REF!</definedName>
    <definedName name="Adult_Couples">Main!#REF!</definedName>
    <definedName name="Appl_Annual_Income_inc_Overtime_1">Main!$D$31</definedName>
    <definedName name="Appl_Annual_Income_inc_Overtime_2">Main!$D$32</definedName>
    <definedName name="Appl_Annual_Income_inc_Overtime_3">Main!$D$33</definedName>
    <definedName name="Appl_Annual_Income_inc_Overtime_4">Main!$D$34</definedName>
    <definedName name="Appl_Annual_Income_inc_Overtime_5">Main!$D$35</definedName>
    <definedName name="Appl_Annual_Income_inc_Overtime_6">Main!$D$36</definedName>
    <definedName name="Applicable_Living_Expenses" localSheetId="2">PrintCopy!$E$45</definedName>
    <definedName name="Applicable_Living_Expenses">Main!$E$47</definedName>
    <definedName name="Applicant_Name" localSheetId="2">PrintCopy!$B$4</definedName>
    <definedName name="Applicant_Name">Main!$B$4</definedName>
    <definedName name="Applicant_Type">CalculationsReference!$B$66:$S$66</definedName>
    <definedName name="Applicant1_GAIncome">CalculationsReference!$B$38</definedName>
    <definedName name="Applicant1_GARental" localSheetId="2">PrintCopy!$F$29</definedName>
    <definedName name="Applicant1_GARental">Main!$F$31</definedName>
    <definedName name="Applicant1_GIncome" localSheetId="2">PrintCopy!$B$29</definedName>
    <definedName name="Applicant1_GIncome">Main!$B$31</definedName>
    <definedName name="Applicant1_IncFreq" localSheetId="2">PrintCopy!$C$29</definedName>
    <definedName name="Applicant1_IncFreq">Main!$C$31</definedName>
    <definedName name="Applicant2_GAIncome">CalculationsReference!$C$38</definedName>
    <definedName name="Applicant2_GARental" localSheetId="2">PrintCopy!$F$30</definedName>
    <definedName name="Applicant2_GARental">Main!$F$32</definedName>
    <definedName name="Applicant2_GIncome" localSheetId="2">PrintCopy!$B$30</definedName>
    <definedName name="Applicant2_GIncome">Main!$B$32</definedName>
    <definedName name="Applicant2_IncFreq" localSheetId="2">PrintCopy!$C$30</definedName>
    <definedName name="Applicant2_IncFreq">Main!$C$32</definedName>
    <definedName name="Applicant3_GAIncome">CalculationsReference!$D$38</definedName>
    <definedName name="Applicant3_GARental" localSheetId="2">PrintCopy!$F$31</definedName>
    <definedName name="Applicant3_GARental">Main!$F$33</definedName>
    <definedName name="Applicant3_GIncome" localSheetId="2">PrintCopy!$B$31</definedName>
    <definedName name="Applicant3_GIncome">Main!$B$33</definedName>
    <definedName name="Applicant3_IncFreq" localSheetId="2">PrintCopy!$C$31</definedName>
    <definedName name="Applicant3_IncFreq">Main!$C$33</definedName>
    <definedName name="Applicant4_GAIncome">CalculationsReference!$E$38</definedName>
    <definedName name="Applicant4_GARental" localSheetId="2">PrintCopy!$F$32</definedName>
    <definedName name="Applicant4_GARental">Main!$F$34</definedName>
    <definedName name="Applicant4_GIncome" localSheetId="2">PrintCopy!$B$32</definedName>
    <definedName name="Applicant4_GIncome">Main!$B$34</definedName>
    <definedName name="Applicant4_IncFreq" localSheetId="2">PrintCopy!$C$32</definedName>
    <definedName name="Applicant4_IncFreq">Main!$C$34</definedName>
    <definedName name="Applicant5_GAIncome">CalculationsReference!$F$38</definedName>
    <definedName name="Applicant5_GARental" localSheetId="2">PrintCopy!$F$33</definedName>
    <definedName name="Applicant5_GARental">Main!$F$35</definedName>
    <definedName name="Applicant5_GIncome" localSheetId="2">PrintCopy!$B$33</definedName>
    <definedName name="Applicant5_GIncome">Main!$B$35</definedName>
    <definedName name="Applicant5_IncFreq" localSheetId="2">PrintCopy!$C$33</definedName>
    <definedName name="Applicant5_IncFreq">Main!$C$35</definedName>
    <definedName name="Applicant6_GAIncome">CalculationsReference!$G$38</definedName>
    <definedName name="Applicant6_GARental" localSheetId="2">PrintCopy!$F$34</definedName>
    <definedName name="Applicant6_GARental">Main!$F$36</definedName>
    <definedName name="Applicant6_GIncome" localSheetId="2">PrintCopy!$B$34</definedName>
    <definedName name="Applicant6_GIncome">Main!$B$36</definedName>
    <definedName name="Applicant6_IncFreq" localSheetId="2">PrintCopy!$C$34</definedName>
    <definedName name="Applicant6_IncFreq">Main!$C$36</definedName>
    <definedName name="APRA_Mortgage_INV_Months" comment="The period in months required by APRA to be used in calculating Other Investment Mortgage repayments">HiddenReference!$C$15</definedName>
    <definedName name="APRA_Mortgage_OO_Months" comment="The period in months required by APRA to be used in calculating Other Owner Occupied Mortgage repayments">HiddenReference!$C$14</definedName>
    <definedName name="APRA_Mortgage_Rate" comment="Minimum APRA interest rate used in calculating Other Mortgage repayments">HiddenReference!$C$12</definedName>
    <definedName name="ARA">HiddenReference!$C$46</definedName>
    <definedName name="ARA_MONTHLY">HiddenReference!$C$47</definedName>
    <definedName name="ARA_Test_Result">HiddenReference!$C$48</definedName>
    <definedName name="Blank_Value">HiddenReference!$C$44</definedName>
    <definedName name="Borrower_Type_Selected" localSheetId="2">PrintCopy!$B$6</definedName>
    <definedName name="Borrower_Type_Selected">Main!$B$6</definedName>
    <definedName name="CalcsRefPage">CalculationsReference!$A$1:$I$57</definedName>
    <definedName name="Calculated_Living_Expense_Table">CalculationsReference!$B$67:$S$83</definedName>
    <definedName name="Calculated_Living_Expenses">HiddenReference!$C$20</definedName>
    <definedName name="CalculatorMainPage" localSheetId="2">PrintCopy!$A$1:$I$53</definedName>
    <definedName name="CalculatorMainPage">Main!$A$1:$I$55</definedName>
    <definedName name="CalculatorPrintPage" localSheetId="2">#REF!</definedName>
    <definedName name="CalculatorPrintPage">#REF!</definedName>
    <definedName name="Company_Business_Depreciation_Amount" localSheetId="2">PrintCopy!$I$39</definedName>
    <definedName name="Company_Business_Depreciation_Amount">Main!$I$41</definedName>
    <definedName name="Company_NPBT_GAIncome" localSheetId="2">PrintCopy!$E$38</definedName>
    <definedName name="Company_NPBT_GAIncome">Main!$E$40</definedName>
    <definedName name="Company_NPBT_GAIncomeMRY" localSheetId="2">PrintCopy!$E$36</definedName>
    <definedName name="Company_NPBT_GAIncomeMRY">Main!$E$38</definedName>
    <definedName name="Company_NPBT_GAIncomePY" localSheetId="2">PrintCopy!$E$37</definedName>
    <definedName name="Company_NPBT_GAIncomePY">Main!$E$39</definedName>
    <definedName name="Company_NPBT_GARental" localSheetId="2">PrintCopy!$F$36</definedName>
    <definedName name="Company_NPBT_GARental">Main!$F$38</definedName>
    <definedName name="CompanyRentalAllowance">HiddenReference!$G$10</definedName>
    <definedName name="CompanyTaxRate">HiddenReference!$C$9</definedName>
    <definedName name="Credit_Card_Limit">Main!$B$10</definedName>
    <definedName name="Credit_Card_Monthly_Payment">CalculationsReference!$E$11</definedName>
    <definedName name="Credit_Card_Monthly_Payment_Percent">CalculationsReference!$C$29</definedName>
    <definedName name="Credit_Card_Monthly_Payment_Percent_Amigo">CalculationsReference!$D$29</definedName>
    <definedName name="Credit_Card_Monthly_Payment_Percent_OtherBanks">CalculationsReference!$E$29</definedName>
    <definedName name="Credit_Card_Monthly_Percent">HiddenReference!$C$21</definedName>
    <definedName name="Credit_Card_Monthly_Percent_Amigo">HiddenReference!$C$22</definedName>
    <definedName name="Credit_Card_Monthly_Percent_OtherBanks">HiddenReference!$C$23</definedName>
    <definedName name="Dependent_Children" localSheetId="2">PrintCopy!#REF!</definedName>
    <definedName name="Dependent_Children">Main!#REF!</definedName>
    <definedName name="Error_Count">HiddenReference!$B$53</definedName>
    <definedName name="Error_Table">HiddenReference!$B$54:$I$54</definedName>
    <definedName name="Family_Paymants_Amount" localSheetId="2">PrintCopy!$I$39</definedName>
    <definedName name="Family_Paymants_Amount">Main!$I$41</definedName>
    <definedName name="Family_Payments_Amount" localSheetId="2">PrintCopy!$B$35</definedName>
    <definedName name="Family_Payments_Amount">Main!$B$37</definedName>
    <definedName name="Gross_Annual_Income">Main!$E$42</definedName>
    <definedName name="Gross_Annual_Income_Bands">CalculationsReference!$A$67:$A$83</definedName>
    <definedName name="HelpTextPage">Help!$A$1:$F$103</definedName>
    <definedName name="LC1Adult">HiddenReference!$C$17</definedName>
    <definedName name="LCAddChild">HiddenReference!$C$19</definedName>
    <definedName name="LCCouple">HiddenReference!$C$18</definedName>
    <definedName name="Living_Exp_for_ARA">Main!$J$47</definedName>
    <definedName name="Living_Expenses">CalculationsReference!$A$61</definedName>
    <definedName name="Living_Expenses_Override" localSheetId="2">PrintCopy!$E$44</definedName>
    <definedName name="Living_Expenses_Override">Main!$E$46</definedName>
    <definedName name="Loan_Amount" localSheetId="2">PrintCopy!$B$10</definedName>
    <definedName name="Loan_Amount">Main!$B$11</definedName>
    <definedName name="Loan_Interest_Rate" localSheetId="2">PrintCopy!$B$11</definedName>
    <definedName name="Loan_Interest_Rate">Main!$B$12</definedName>
    <definedName name="Loan_Investment" localSheetId="2">PrintCopy!$B$8</definedName>
    <definedName name="Loan_Investment">Main!$B$9</definedName>
    <definedName name="Loan_Owner_Occupied" localSheetId="2">PrintCopy!$B$7</definedName>
    <definedName name="Loan_Owner_Occupied">Main!$B$8</definedName>
    <definedName name="LOAN_TERM_MONTHS">Main!$B$14</definedName>
    <definedName name="Loan_Term_Years" localSheetId="2">PrintCopy!$B$13</definedName>
    <definedName name="Loan_Term_Years">Main!$B$15</definedName>
    <definedName name="Maximum_Loan_Amount_Text">HiddenReference!$C$52</definedName>
    <definedName name="MaximumLoanAmount">HiddenReference!$C$42</definedName>
    <definedName name="MedicareLevyRate">HiddenReference!$C$8</definedName>
    <definedName name="Min_TaxableIncome">HiddenReference!$A$4</definedName>
    <definedName name="Minimum_Servicing_Test_Rate">CalculationsReference!$B$5</definedName>
    <definedName name="Net_Annual_Income_Bands">CalculationsReference!#REF!</definedName>
    <definedName name="NET_DISPOSABLE_INCOME" localSheetId="2">PrintCopy!$F$53</definedName>
    <definedName name="NET_DISPOSABLE_INCOME">Main!$F$55</definedName>
    <definedName name="NSR_Rate_Monthly_Payment">CalculationsReference!#REF!</definedName>
    <definedName name="NSR_Test_Result">HiddenReference!$C$34</definedName>
    <definedName name="NSRCalculated">HiddenReference!$C$30</definedName>
    <definedName name="NSRCalculatedFormatted">HiddenReference!$C$31</definedName>
    <definedName name="NSRInterestRate">HiddenReference!$C$25</definedName>
    <definedName name="NSRRequired">HiddenReference!$C$32</definedName>
    <definedName name="NSRRequiredFormatted">HiddenReference!$C$33</definedName>
    <definedName name="Other_Commits_Amount" localSheetId="2">PrintCopy!$G$24</definedName>
    <definedName name="Other_Commits_Amount">Main!$G$26</definedName>
    <definedName name="Other_Commits_Payment" localSheetId="2">PrintCopy!$H$24</definedName>
    <definedName name="Other_Commits_Payment">Main!$H$26</definedName>
    <definedName name="Other_Commits_Specify" localSheetId="2">PrintCopy!$E$24</definedName>
    <definedName name="Other_Commits_Specify">Main!$E$26</definedName>
    <definedName name="Other_Commits_Total_Annual" localSheetId="2">PrintCopy!$F$50</definedName>
    <definedName name="Other_Commits_Total_Annual">Main!$F$52</definedName>
    <definedName name="Other_Commits_Total_Monthly_Payment" localSheetId="2">PrintCopy!$H$26</definedName>
    <definedName name="Other_Commits_Total_Monthly_Payment">Main!$H$28</definedName>
    <definedName name="Other_CreditCard_Amigo_Limits">Main!$G$23</definedName>
    <definedName name="Other_CreditCard_Banks_Limits">Main!$G$24</definedName>
    <definedName name="Other_CreditCard_CFCU_Limits">Main!$G$22</definedName>
    <definedName name="Other_CreditCard_Limits" localSheetId="2">PrintCopy!$G$20</definedName>
    <definedName name="Other_Loans_Inv_Amount" localSheetId="2">PrintCopy!$G$19</definedName>
    <definedName name="Other_Loans_Inv_Amount">Main!$G$21</definedName>
    <definedName name="Other_Loans_Inv_Payment" localSheetId="2">PrintCopy!$H$19</definedName>
    <definedName name="Other_Loans_Inv_Payment">Main!$H$21</definedName>
    <definedName name="Other_Loans_OO_Amount" localSheetId="2">PrintCopy!$G$18</definedName>
    <definedName name="Other_Loans_OO_Amount">Main!$G$20</definedName>
    <definedName name="Other_Loans_OO_Payment" localSheetId="2">PrintCopy!$H$18</definedName>
    <definedName name="Other_Loans_OO_Payment">Main!$H$20</definedName>
    <definedName name="Other_Loans_Payment" localSheetId="2">PrintCopy!$H$19</definedName>
    <definedName name="Other_Loans_Payment">Main!$H$21</definedName>
    <definedName name="Other_Mtg_Inv_LoanTerm">HiddenReference!$F$15:$J$15</definedName>
    <definedName name="Other_Mtg_OO_LoanTerm">HiddenReference!$F$14:$K$14</definedName>
    <definedName name="Overtime_Haircut">HiddenReference!$C$11</definedName>
    <definedName name="Payment_Frequency">CalculationsReference!$H$3:$H$9</definedName>
    <definedName name="Payment_Frequency_Multiples">CalculationsReference!$H$3:$I$7</definedName>
    <definedName name="_xlnm.Print_Area" localSheetId="3">CalculationsReference!$A$1:$I$57</definedName>
    <definedName name="_xlnm.Print_Area" localSheetId="0">Help!$A$1:$F$106</definedName>
    <definedName name="_xlnm.Print_Area" localSheetId="4">HiddenReference!$A$1:$C$43</definedName>
    <definedName name="_xlnm.Print_Area" localSheetId="1">Main!$A$1:$K$58</definedName>
    <definedName name="_xlnm.Print_Area" localSheetId="2">PrintCopy!$A$1:$K$56</definedName>
    <definedName name="Proposed_Loan_Monthly_Payment">CalculationsReference!$C$11</definedName>
    <definedName name="Rental_Allowance_Factor">CalculationsReference!$C$30</definedName>
    <definedName name="RentalAllowance">HiddenReference!$C$10</definedName>
    <definedName name="Secured_Credit_Monthly_Percent">HiddenReference!$C$24</definedName>
    <definedName name="solver_adj" localSheetId="1" hidden="1">CalculationsReference!$C$11</definedName>
    <definedName name="solver_adj" localSheetId="2" hidden="1">CalculationsReference!$C$11</definedName>
    <definedName name="solver_cvg" localSheetId="1" hidden="1">0.001</definedName>
    <definedName name="solver_cvg" localSheetId="2" hidden="1">0.001</definedName>
    <definedName name="solver_drv" localSheetId="1" hidden="1">1</definedName>
    <definedName name="solver_drv" localSheetId="2" hidden="1">1</definedName>
    <definedName name="solver_est" localSheetId="1" hidden="1">1</definedName>
    <definedName name="solver_est" localSheetId="2" hidden="1">1</definedName>
    <definedName name="solver_itr" localSheetId="1" hidden="1">100</definedName>
    <definedName name="solver_itr" localSheetId="2" hidden="1">100</definedName>
    <definedName name="solver_lin" localSheetId="1" hidden="1">2</definedName>
    <definedName name="solver_lin" localSheetId="2" hidden="1">2</definedName>
    <definedName name="solver_neg" localSheetId="1" hidden="1">2</definedName>
    <definedName name="solver_neg" localSheetId="2" hidden="1">2</definedName>
    <definedName name="solver_num" localSheetId="1" hidden="1">0</definedName>
    <definedName name="solver_num" localSheetId="2" hidden="1">0</definedName>
    <definedName name="solver_nwt" localSheetId="1" hidden="1">1</definedName>
    <definedName name="solver_nwt" localSheetId="2" hidden="1">1</definedName>
    <definedName name="solver_opt" localSheetId="1" hidden="1">HiddenReference!$C$30</definedName>
    <definedName name="solver_opt" localSheetId="2" hidden="1">HiddenReference!$C$30</definedName>
    <definedName name="solver_pre" localSheetId="1" hidden="1">0.000001</definedName>
    <definedName name="solver_pre" localSheetId="2" hidden="1">0.000001</definedName>
    <definedName name="solver_scl" localSheetId="1" hidden="1">2</definedName>
    <definedName name="solver_scl" localSheetId="2" hidden="1">2</definedName>
    <definedName name="solver_sho" localSheetId="1" hidden="1">2</definedName>
    <definedName name="solver_sho" localSheetId="2" hidden="1">2</definedName>
    <definedName name="solver_tim" localSheetId="1" hidden="1">100</definedName>
    <definedName name="solver_tim" localSheetId="2" hidden="1">100</definedName>
    <definedName name="solver_tol" localSheetId="1" hidden="1">0.05</definedName>
    <definedName name="solver_tol" localSheetId="2" hidden="1">0.05</definedName>
    <definedName name="solver_typ" localSheetId="1" hidden="1">3</definedName>
    <definedName name="solver_typ" localSheetId="2" hidden="1">3</definedName>
    <definedName name="solver_val" localSheetId="1" hidden="1">1.25</definedName>
    <definedName name="solver_val" localSheetId="2" hidden="1">1.25</definedName>
    <definedName name="SVR">CalculationsReference!$B$4</definedName>
    <definedName name="TaxScales">HiddenReference!$A$3:$C$7</definedName>
    <definedName name="TOTAL_COSTS" localSheetId="2">PrintCopy!$F$51</definedName>
    <definedName name="TOTAL_COSTS">Main!$F$53</definedName>
    <definedName name="Total_Gross_Annual_Income">Main!$G$42</definedName>
    <definedName name="Total_Net_Annual_Income" localSheetId="2">PrintCopy!$I$40</definedName>
    <definedName name="Total_Net_Annual_Income">Main!$I$42</definedName>
    <definedName name="Zero_Value">HiddenReference!$C$45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1" l="1"/>
  <c r="C9" i="11"/>
  <c r="D9" i="11"/>
  <c r="E9" i="11"/>
  <c r="F9" i="11"/>
  <c r="G9" i="11"/>
  <c r="H9" i="11"/>
  <c r="I9" i="11"/>
  <c r="J9" i="11"/>
  <c r="K9" i="11"/>
  <c r="L9" i="11"/>
  <c r="M9" i="11"/>
  <c r="N9" i="11"/>
  <c r="O9" i="11"/>
  <c r="B10" i="11"/>
  <c r="C10" i="11"/>
  <c r="D10" i="11"/>
  <c r="E10" i="11"/>
  <c r="F10" i="11"/>
  <c r="G10" i="11"/>
  <c r="H10" i="11"/>
  <c r="I10" i="11"/>
  <c r="J10" i="11"/>
  <c r="K10" i="11"/>
  <c r="L10" i="11"/>
  <c r="M10" i="11"/>
  <c r="N10" i="11"/>
  <c r="O10" i="11"/>
  <c r="B11" i="11"/>
  <c r="C11" i="11"/>
  <c r="D11" i="11"/>
  <c r="E11" i="11"/>
  <c r="F11" i="11"/>
  <c r="G11" i="11"/>
  <c r="H11" i="11"/>
  <c r="I11" i="11"/>
  <c r="J11" i="11"/>
  <c r="K11" i="11"/>
  <c r="L11" i="11"/>
  <c r="M11" i="11"/>
  <c r="N11" i="11"/>
  <c r="O11" i="11"/>
  <c r="C8" i="11"/>
  <c r="D8" i="11"/>
  <c r="E8" i="11"/>
  <c r="F8" i="11"/>
  <c r="G8" i="11"/>
  <c r="H8" i="11"/>
  <c r="I8" i="11"/>
  <c r="J8" i="11"/>
  <c r="K8" i="11"/>
  <c r="L8" i="11"/>
  <c r="M8" i="11"/>
  <c r="N8" i="11"/>
  <c r="O8" i="11"/>
  <c r="B8" i="11"/>
  <c r="B4" i="11"/>
  <c r="C4" i="11"/>
  <c r="D4" i="11"/>
  <c r="E4" i="11"/>
  <c r="F4" i="11"/>
  <c r="G4" i="11"/>
  <c r="H4" i="11"/>
  <c r="I4" i="11"/>
  <c r="J4" i="11"/>
  <c r="K4" i="11"/>
  <c r="L4" i="11"/>
  <c r="M4" i="11"/>
  <c r="N4" i="11"/>
  <c r="O4" i="11"/>
  <c r="B5" i="11"/>
  <c r="C5" i="11"/>
  <c r="D5" i="11"/>
  <c r="E5" i="11"/>
  <c r="F5" i="11"/>
  <c r="G5" i="11"/>
  <c r="H5" i="11"/>
  <c r="I5" i="11"/>
  <c r="J5" i="11"/>
  <c r="K5" i="11"/>
  <c r="L5" i="11"/>
  <c r="M5" i="11"/>
  <c r="N5" i="11"/>
  <c r="O5" i="11"/>
  <c r="B6" i="11"/>
  <c r="C6" i="11"/>
  <c r="D6" i="11"/>
  <c r="E6" i="11"/>
  <c r="F6" i="11"/>
  <c r="G6" i="11"/>
  <c r="H6" i="11"/>
  <c r="I6" i="11"/>
  <c r="J6" i="11"/>
  <c r="K6" i="11"/>
  <c r="L6" i="11"/>
  <c r="M6" i="11"/>
  <c r="N6" i="11"/>
  <c r="O6" i="11"/>
  <c r="C3" i="11"/>
  <c r="D3" i="11"/>
  <c r="E3" i="11"/>
  <c r="F3" i="11"/>
  <c r="G3" i="11"/>
  <c r="H3" i="11"/>
  <c r="I3" i="11"/>
  <c r="J3" i="11"/>
  <c r="K3" i="11"/>
  <c r="L3" i="11"/>
  <c r="M3" i="11"/>
  <c r="N3" i="11"/>
  <c r="O3" i="11"/>
  <c r="B3" i="11"/>
  <c r="A80" i="3" l="1"/>
  <c r="A79" i="3"/>
  <c r="A78" i="3"/>
  <c r="A77" i="3"/>
  <c r="A76" i="3"/>
  <c r="A75" i="3"/>
  <c r="A74" i="3"/>
  <c r="A73" i="3"/>
  <c r="A72" i="3"/>
  <c r="A71" i="3"/>
  <c r="A70" i="3"/>
  <c r="A69" i="3"/>
  <c r="A68" i="3"/>
  <c r="A67" i="3"/>
  <c r="B68" i="3" l="1"/>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E15" i="1" l="1"/>
  <c r="G24" i="3" s="1"/>
  <c r="D15" i="1"/>
  <c r="G17" i="3" s="1"/>
  <c r="C24" i="3" l="1"/>
  <c r="C17" i="3"/>
  <c r="A54" i="1"/>
  <c r="C22" i="3" l="1"/>
  <c r="C15" i="3"/>
  <c r="C8" i="3"/>
  <c r="E22" i="3"/>
  <c r="E25" i="3" s="1"/>
  <c r="E15" i="3"/>
  <c r="E18" i="3" s="1"/>
  <c r="B11" i="1"/>
  <c r="C23" i="3"/>
  <c r="C16" i="3"/>
  <c r="C4" i="3"/>
  <c r="E25" i="2"/>
  <c r="B26" i="3" l="1"/>
  <c r="H23" i="3" s="1"/>
  <c r="G23" i="3" s="1"/>
  <c r="B19" i="3"/>
  <c r="H16" i="3" s="1"/>
  <c r="G16" i="3" s="1"/>
  <c r="G15" i="3"/>
  <c r="G22" i="3"/>
  <c r="G8" i="3"/>
  <c r="D11" i="1"/>
  <c r="E11" i="1"/>
  <c r="B10" i="9" l="1"/>
  <c r="C15" i="2"/>
  <c r="F19" i="9"/>
  <c r="F30" i="9"/>
  <c r="E44" i="9"/>
  <c r="I39" i="9"/>
  <c r="F42" i="1"/>
  <c r="F40" i="9" s="1"/>
  <c r="B54" i="2"/>
  <c r="B53" i="2" s="1"/>
  <c r="F40" i="1" s="1"/>
  <c r="F38" i="9" s="1"/>
  <c r="E36" i="9"/>
  <c r="B30" i="9"/>
  <c r="D29" i="9"/>
  <c r="B29" i="9"/>
  <c r="G23" i="9"/>
  <c r="G19" i="9"/>
  <c r="B6" i="9"/>
  <c r="G22" i="9"/>
  <c r="G21" i="9"/>
  <c r="I20" i="1"/>
  <c r="I18" i="9"/>
  <c r="I25" i="1"/>
  <c r="I23" i="9" s="1"/>
  <c r="E29" i="3"/>
  <c r="I24" i="1" s="1"/>
  <c r="I22" i="9" s="1"/>
  <c r="D29" i="3"/>
  <c r="H23" i="1" s="1"/>
  <c r="H21" i="9" s="1"/>
  <c r="I4" i="3"/>
  <c r="I3" i="3"/>
  <c r="C14" i="2"/>
  <c r="H39" i="3"/>
  <c r="H44" i="3" s="1"/>
  <c r="H30" i="3"/>
  <c r="F1" i="4"/>
  <c r="P80" i="3"/>
  <c r="Q80" i="3"/>
  <c r="R80" i="3"/>
  <c r="S80" i="3"/>
  <c r="P81" i="3"/>
  <c r="Q81" i="3"/>
  <c r="R81" i="3"/>
  <c r="S81" i="3"/>
  <c r="P82" i="3"/>
  <c r="Q82" i="3"/>
  <c r="R82" i="3"/>
  <c r="S82" i="3"/>
  <c r="P83" i="3"/>
  <c r="Q83" i="3"/>
  <c r="R83" i="3"/>
  <c r="S83" i="3"/>
  <c r="O80" i="3"/>
  <c r="O81" i="3"/>
  <c r="O82" i="3"/>
  <c r="O83" i="3"/>
  <c r="N83" i="3"/>
  <c r="N82" i="3"/>
  <c r="N81" i="3"/>
  <c r="N80" i="3"/>
  <c r="M83" i="3"/>
  <c r="M82" i="3"/>
  <c r="M81" i="3"/>
  <c r="M80" i="3"/>
  <c r="L83" i="3"/>
  <c r="L82" i="3"/>
  <c r="L81" i="3"/>
  <c r="L80" i="3"/>
  <c r="H80" i="3"/>
  <c r="I80" i="3"/>
  <c r="J80" i="3"/>
  <c r="K80" i="3"/>
  <c r="H81" i="3"/>
  <c r="I81" i="3"/>
  <c r="J81" i="3"/>
  <c r="K81" i="3"/>
  <c r="H82" i="3"/>
  <c r="I82" i="3"/>
  <c r="J82" i="3"/>
  <c r="K82" i="3"/>
  <c r="H83" i="3"/>
  <c r="I83" i="3"/>
  <c r="J83" i="3"/>
  <c r="K83" i="3"/>
  <c r="G80" i="3"/>
  <c r="G81" i="3"/>
  <c r="G82" i="3"/>
  <c r="G83" i="3"/>
  <c r="E81" i="3"/>
  <c r="F83" i="3"/>
  <c r="F82" i="3"/>
  <c r="F81" i="3"/>
  <c r="F80" i="3"/>
  <c r="E82" i="3"/>
  <c r="E83" i="3"/>
  <c r="E80" i="3"/>
  <c r="D83" i="3"/>
  <c r="D82" i="3"/>
  <c r="D81" i="3"/>
  <c r="D80" i="3"/>
  <c r="D79" i="3"/>
  <c r="C83" i="3"/>
  <c r="C82" i="3"/>
  <c r="C81" i="3"/>
  <c r="C80" i="3"/>
  <c r="B83" i="3"/>
  <c r="B82" i="3"/>
  <c r="B81" i="3"/>
  <c r="B80" i="3"/>
  <c r="D15" i="11"/>
  <c r="E15" i="11"/>
  <c r="F15" i="11"/>
  <c r="G15" i="11"/>
  <c r="H15" i="11"/>
  <c r="I15" i="11"/>
  <c r="J15" i="11"/>
  <c r="K15" i="11"/>
  <c r="L15" i="11"/>
  <c r="M15" i="11"/>
  <c r="N15" i="11"/>
  <c r="O15" i="11"/>
  <c r="B15" i="11"/>
  <c r="C15" i="11"/>
  <c r="D34" i="9"/>
  <c r="D33" i="9"/>
  <c r="D32" i="9"/>
  <c r="D31" i="9"/>
  <c r="D30" i="9"/>
  <c r="C31" i="3"/>
  <c r="F18" i="9"/>
  <c r="N78" i="3"/>
  <c r="R77" i="3"/>
  <c r="O76" i="3"/>
  <c r="Q74" i="3"/>
  <c r="O70" i="3"/>
  <c r="R69" i="3"/>
  <c r="O68" i="3"/>
  <c r="M79" i="3"/>
  <c r="M67" i="3"/>
  <c r="L79" i="3"/>
  <c r="L78" i="3"/>
  <c r="J78" i="3"/>
  <c r="E79" i="3"/>
  <c r="E78" i="3"/>
  <c r="D67" i="3"/>
  <c r="C79" i="3"/>
  <c r="S79" i="3"/>
  <c r="S75" i="3"/>
  <c r="S73" i="3"/>
  <c r="S72" i="3"/>
  <c r="S71" i="3"/>
  <c r="S70" i="3"/>
  <c r="S69" i="3"/>
  <c r="S68" i="3"/>
  <c r="S67" i="3"/>
  <c r="R79" i="3"/>
  <c r="R75" i="3"/>
  <c r="R73" i="3"/>
  <c r="R72" i="3"/>
  <c r="R71" i="3"/>
  <c r="R67" i="3"/>
  <c r="Q79" i="3"/>
  <c r="Q75" i="3"/>
  <c r="Q73" i="3"/>
  <c r="Q72" i="3"/>
  <c r="Q71" i="3"/>
  <c r="Q68" i="3"/>
  <c r="Q67" i="3"/>
  <c r="P79" i="3"/>
  <c r="P75" i="3"/>
  <c r="P73" i="3"/>
  <c r="P72" i="3"/>
  <c r="P71" i="3"/>
  <c r="P69" i="3"/>
  <c r="P68" i="3"/>
  <c r="P67" i="3"/>
  <c r="O79" i="3"/>
  <c r="O75" i="3"/>
  <c r="O74" i="3"/>
  <c r="O73" i="3"/>
  <c r="O72" i="3"/>
  <c r="O71" i="3"/>
  <c r="O67" i="3"/>
  <c r="N79" i="3"/>
  <c r="N67" i="3"/>
  <c r="M78" i="3"/>
  <c r="L67" i="3"/>
  <c r="K79" i="3"/>
  <c r="K78" i="3"/>
  <c r="K67" i="3"/>
  <c r="J79" i="3"/>
  <c r="J67" i="3"/>
  <c r="I79" i="3"/>
  <c r="I78" i="3"/>
  <c r="I67" i="3"/>
  <c r="H79" i="3"/>
  <c r="H67" i="3"/>
  <c r="G79" i="3"/>
  <c r="G78" i="3"/>
  <c r="G67" i="3"/>
  <c r="F79" i="3"/>
  <c r="F78" i="3"/>
  <c r="F67" i="3"/>
  <c r="E67" i="3"/>
  <c r="D78" i="3"/>
  <c r="C78" i="3"/>
  <c r="C67" i="3"/>
  <c r="B79" i="3"/>
  <c r="B78" i="3"/>
  <c r="B67" i="3"/>
  <c r="A64" i="3"/>
  <c r="P77" i="3"/>
  <c r="S78" i="3"/>
  <c r="S77" i="3"/>
  <c r="H78" i="3"/>
  <c r="P70" i="3"/>
  <c r="P78" i="3"/>
  <c r="R68" i="3"/>
  <c r="R76" i="3"/>
  <c r="R74" i="3"/>
  <c r="Q70" i="3"/>
  <c r="Q78" i="3"/>
  <c r="S76" i="3"/>
  <c r="P74" i="3"/>
  <c r="Q69" i="3"/>
  <c r="Q77" i="3"/>
  <c r="O78" i="3"/>
  <c r="O69" i="3"/>
  <c r="O77" i="3"/>
  <c r="R70" i="3"/>
  <c r="R78" i="3"/>
  <c r="P76" i="3"/>
  <c r="Q76" i="3"/>
  <c r="S74" i="3"/>
  <c r="O2" i="6"/>
  <c r="P2" i="6" s="1"/>
  <c r="G2" i="6"/>
  <c r="H2" i="6" s="1"/>
  <c r="A9" i="9"/>
  <c r="B9" i="9"/>
  <c r="E8" i="3"/>
  <c r="E11" i="3" s="1"/>
  <c r="A25" i="9"/>
  <c r="E25" i="9"/>
  <c r="H25" i="9"/>
  <c r="A26" i="9"/>
  <c r="J1" i="9"/>
  <c r="A28" i="2"/>
  <c r="A12" i="9"/>
  <c r="B12" i="9"/>
  <c r="B15" i="1"/>
  <c r="C10" i="3" s="1"/>
  <c r="F29" i="9"/>
  <c r="F31" i="9"/>
  <c r="F32" i="9"/>
  <c r="F33" i="9"/>
  <c r="F34" i="9"/>
  <c r="F36" i="9"/>
  <c r="C29" i="9"/>
  <c r="C30" i="9"/>
  <c r="B31" i="9"/>
  <c r="C31" i="9"/>
  <c r="B32" i="9"/>
  <c r="C32" i="9"/>
  <c r="B33" i="9"/>
  <c r="C33" i="9"/>
  <c r="B34" i="9"/>
  <c r="C34" i="9"/>
  <c r="B35" i="9"/>
  <c r="E24" i="9"/>
  <c r="G18" i="9"/>
  <c r="G20" i="9"/>
  <c r="G24" i="9"/>
  <c r="H24" i="9"/>
  <c r="A4" i="9"/>
  <c r="B4" i="9"/>
  <c r="A6" i="9"/>
  <c r="A7" i="9"/>
  <c r="B7" i="9"/>
  <c r="A8" i="9"/>
  <c r="B8" i="9"/>
  <c r="A10" i="9"/>
  <c r="A11" i="9"/>
  <c r="B11" i="9"/>
  <c r="A13" i="9"/>
  <c r="A14" i="9"/>
  <c r="J46" i="1"/>
  <c r="J44" i="9" s="1"/>
  <c r="C37" i="1"/>
  <c r="C35" i="9" s="1"/>
  <c r="G35" i="3"/>
  <c r="F35" i="3"/>
  <c r="F36" i="3"/>
  <c r="F37" i="3" s="1"/>
  <c r="E35" i="3"/>
  <c r="E36" i="3"/>
  <c r="E37" i="3" s="1"/>
  <c r="E38" i="3" s="1"/>
  <c r="D35" i="3"/>
  <c r="D36" i="3" s="1"/>
  <c r="D37" i="3" s="1"/>
  <c r="D38" i="3" s="1"/>
  <c r="C35" i="3"/>
  <c r="B35" i="3"/>
  <c r="G34" i="3"/>
  <c r="F34" i="3"/>
  <c r="E34" i="3"/>
  <c r="D34" i="3"/>
  <c r="C34" i="3"/>
  <c r="I37" i="1"/>
  <c r="C36" i="2"/>
  <c r="F4" i="6"/>
  <c r="E4" i="6"/>
  <c r="C33" i="2"/>
  <c r="F1" i="3"/>
  <c r="C9" i="3"/>
  <c r="C29" i="3"/>
  <c r="I22" i="1" s="1"/>
  <c r="I20" i="9" s="1"/>
  <c r="C30" i="3"/>
  <c r="A39" i="3"/>
  <c r="B39" i="3"/>
  <c r="C39" i="3"/>
  <c r="D39" i="3"/>
  <c r="E39" i="3"/>
  <c r="E44" i="3" s="1"/>
  <c r="F39" i="3"/>
  <c r="F45" i="3" s="1"/>
  <c r="G39" i="3"/>
  <c r="G45" i="3" s="1"/>
  <c r="H52" i="3"/>
  <c r="B4" i="2"/>
  <c r="B5" i="2" s="1"/>
  <c r="B6" i="2" s="1"/>
  <c r="B7" i="2" s="1"/>
  <c r="A27" i="2"/>
  <c r="I4" i="1"/>
  <c r="I4" i="9" s="1"/>
  <c r="G36" i="3"/>
  <c r="F44" i="3"/>
  <c r="B34" i="3"/>
  <c r="H25" i="1"/>
  <c r="H23" i="9" s="1"/>
  <c r="C25" i="2"/>
  <c r="A26" i="2"/>
  <c r="G4" i="6" l="1"/>
  <c r="G6" i="6" s="1"/>
  <c r="I2" i="6"/>
  <c r="H4" i="6"/>
  <c r="H6" i="6" s="1"/>
  <c r="Q2" i="6"/>
  <c r="P4" i="6"/>
  <c r="O4" i="6"/>
  <c r="O6" i="6" s="1"/>
  <c r="J37" i="1"/>
  <c r="J35" i="9" s="1"/>
  <c r="B12" i="3"/>
  <c r="H9" i="3" s="1"/>
  <c r="G9" i="3" s="1"/>
  <c r="D10" i="3" s="1"/>
  <c r="G11" i="3" s="1"/>
  <c r="H22" i="1"/>
  <c r="H20" i="9" s="1"/>
  <c r="C42" i="3"/>
  <c r="C44" i="3" s="1"/>
  <c r="B13" i="9"/>
  <c r="C25" i="3"/>
  <c r="E16" i="1" s="1"/>
  <c r="C18" i="3"/>
  <c r="D16" i="1" s="1"/>
  <c r="I35" i="9"/>
  <c r="H24" i="1"/>
  <c r="H22" i="9" s="1"/>
  <c r="E45" i="3"/>
  <c r="E42" i="3"/>
  <c r="F42" i="3"/>
  <c r="I23" i="1"/>
  <c r="I21" i="9" s="1"/>
  <c r="D17" i="3"/>
  <c r="G18" i="3" s="1"/>
  <c r="D24" i="3"/>
  <c r="G25" i="3" s="1"/>
  <c r="G10" i="3"/>
  <c r="C11" i="3" s="1"/>
  <c r="D42" i="3"/>
  <c r="D45" i="3" s="1"/>
  <c r="G37" i="3"/>
  <c r="G38" i="3" s="1"/>
  <c r="B36" i="3"/>
  <c r="B37" i="3" s="1"/>
  <c r="B38" i="3" s="1"/>
  <c r="C36" i="3"/>
  <c r="C37" i="3" s="1"/>
  <c r="C38" i="3" s="1"/>
  <c r="C40" i="3" s="1"/>
  <c r="E40" i="3"/>
  <c r="G34" i="1" s="1"/>
  <c r="G32" i="9" s="1"/>
  <c r="E34" i="1"/>
  <c r="E32" i="9" s="1"/>
  <c r="E37" i="9"/>
  <c r="A29" i="2"/>
  <c r="E40" i="1"/>
  <c r="B42" i="3"/>
  <c r="B44" i="3" s="1"/>
  <c r="G28" i="1"/>
  <c r="G26" i="9" s="1"/>
  <c r="F38" i="3"/>
  <c r="D44" i="3"/>
  <c r="E33" i="1"/>
  <c r="E31" i="9" s="1"/>
  <c r="D40" i="3"/>
  <c r="G44" i="3"/>
  <c r="H42" i="3"/>
  <c r="G42" i="3"/>
  <c r="H45" i="3"/>
  <c r="P6" i="6" l="1"/>
  <c r="Q4" i="6"/>
  <c r="Q6" i="6" s="1"/>
  <c r="R2" i="6"/>
  <c r="I4" i="6"/>
  <c r="I6" i="6" s="1"/>
  <c r="J2" i="6"/>
  <c r="B16" i="1"/>
  <c r="B14" i="9" s="1"/>
  <c r="A52" i="9"/>
  <c r="F54" i="1"/>
  <c r="H21" i="1"/>
  <c r="B45" i="3" s="1"/>
  <c r="H20" i="1"/>
  <c r="E32" i="1"/>
  <c r="E30" i="9" s="1"/>
  <c r="E47" i="3"/>
  <c r="E54" i="3" s="1"/>
  <c r="E36" i="1"/>
  <c r="E34" i="9" s="1"/>
  <c r="G40" i="3"/>
  <c r="G47" i="3" s="1"/>
  <c r="I42" i="3"/>
  <c r="B40" i="3"/>
  <c r="E31" i="1"/>
  <c r="I44" i="3"/>
  <c r="E38" i="9"/>
  <c r="H36" i="3"/>
  <c r="F40" i="3"/>
  <c r="E35" i="1"/>
  <c r="E33" i="9" s="1"/>
  <c r="G33" i="1"/>
  <c r="G31" i="9" s="1"/>
  <c r="D47" i="3"/>
  <c r="G32" i="1"/>
  <c r="C47" i="3"/>
  <c r="K2" i="6" l="1"/>
  <c r="J4" i="6"/>
  <c r="J6" i="6" s="1"/>
  <c r="S2" i="6"/>
  <c r="R4" i="6"/>
  <c r="R6" i="6" s="1"/>
  <c r="J51" i="1"/>
  <c r="J52" i="1" s="1"/>
  <c r="J50" i="1"/>
  <c r="G36" i="1"/>
  <c r="G34" i="9" s="1"/>
  <c r="E29" i="9"/>
  <c r="F52" i="9"/>
  <c r="E50" i="3"/>
  <c r="H28" i="1"/>
  <c r="H18" i="9"/>
  <c r="C50" i="2"/>
  <c r="C52" i="2" s="1"/>
  <c r="C45" i="3"/>
  <c r="I45" i="3" s="1"/>
  <c r="H19" i="9"/>
  <c r="E52" i="3"/>
  <c r="E53" i="3"/>
  <c r="E55" i="3"/>
  <c r="E56" i="3" s="1"/>
  <c r="E51" i="3"/>
  <c r="E49" i="3"/>
  <c r="E42" i="1"/>
  <c r="E40" i="9" s="1"/>
  <c r="G35" i="1"/>
  <c r="G33" i="9" s="1"/>
  <c r="F47" i="3"/>
  <c r="H38" i="3"/>
  <c r="I36" i="3"/>
  <c r="B47" i="3"/>
  <c r="G31" i="1"/>
  <c r="G29" i="9" s="1"/>
  <c r="G51" i="3"/>
  <c r="G49" i="3"/>
  <c r="G54" i="3"/>
  <c r="G55" i="3"/>
  <c r="G53" i="3"/>
  <c r="G52" i="3"/>
  <c r="G50" i="3"/>
  <c r="C50" i="3"/>
  <c r="C52" i="3"/>
  <c r="C49" i="3"/>
  <c r="C51" i="3" s="1"/>
  <c r="C55" i="3"/>
  <c r="D52" i="3"/>
  <c r="D50" i="3"/>
  <c r="D55" i="3"/>
  <c r="D49" i="3"/>
  <c r="D51" i="3" s="1"/>
  <c r="D53" i="3" s="1"/>
  <c r="G30" i="9"/>
  <c r="T2" i="6" l="1"/>
  <c r="S4" i="6"/>
  <c r="S6" i="6" s="1"/>
  <c r="L2" i="6"/>
  <c r="K4" i="6"/>
  <c r="K6" i="6" s="1"/>
  <c r="D54" i="3"/>
  <c r="D56" i="3" s="1"/>
  <c r="G47" i="9"/>
  <c r="G49" i="1"/>
  <c r="H26" i="9"/>
  <c r="F52" i="1"/>
  <c r="C53" i="3"/>
  <c r="C54" i="3" s="1"/>
  <c r="C56" i="3" s="1"/>
  <c r="H34" i="1"/>
  <c r="H32" i="9" s="1"/>
  <c r="E57" i="3"/>
  <c r="E58" i="3" s="1"/>
  <c r="J34" i="1" s="1"/>
  <c r="J32" i="9" s="1"/>
  <c r="H40" i="3"/>
  <c r="I39" i="3" s="1"/>
  <c r="I38" i="3"/>
  <c r="B52" i="3"/>
  <c r="B50" i="3"/>
  <c r="B55" i="3"/>
  <c r="B49" i="3"/>
  <c r="B51" i="3" s="1"/>
  <c r="F54" i="3"/>
  <c r="F52" i="3"/>
  <c r="F55" i="3"/>
  <c r="F51" i="3"/>
  <c r="F53" i="3"/>
  <c r="F50" i="3"/>
  <c r="F49" i="3"/>
  <c r="G56" i="3"/>
  <c r="L4" i="6" l="1"/>
  <c r="L6" i="6" s="1"/>
  <c r="M2" i="6"/>
  <c r="I34" i="1"/>
  <c r="I32" i="9" s="1"/>
  <c r="U2" i="6"/>
  <c r="T4" i="6"/>
  <c r="T6" i="6" s="1"/>
  <c r="C43" i="2"/>
  <c r="I55" i="3"/>
  <c r="F50" i="9"/>
  <c r="F56" i="3"/>
  <c r="H35" i="1" s="1"/>
  <c r="H33" i="9" s="1"/>
  <c r="I49" i="3"/>
  <c r="B53" i="3"/>
  <c r="B54" i="3" s="1"/>
  <c r="B56" i="3" s="1"/>
  <c r="I51" i="3"/>
  <c r="I50" i="3"/>
  <c r="G38" i="1"/>
  <c r="H47" i="3"/>
  <c r="H54" i="3" s="1"/>
  <c r="H38" i="1" s="1"/>
  <c r="H36" i="9" s="1"/>
  <c r="I40" i="3"/>
  <c r="I47" i="3" s="1"/>
  <c r="H33" i="1"/>
  <c r="H31" i="9" s="1"/>
  <c r="D57" i="3"/>
  <c r="H36" i="1"/>
  <c r="H34" i="9" s="1"/>
  <c r="G57" i="3"/>
  <c r="H32" i="1"/>
  <c r="H30" i="9" s="1"/>
  <c r="C57" i="3"/>
  <c r="V2" i="6" l="1"/>
  <c r="V4" i="6" s="1"/>
  <c r="U4" i="6"/>
  <c r="U6" i="6" s="1"/>
  <c r="M4" i="6"/>
  <c r="M6" i="6" s="1"/>
  <c r="N2" i="6"/>
  <c r="N4" i="6" s="1"/>
  <c r="F57" i="3"/>
  <c r="F58" i="3" s="1"/>
  <c r="J35" i="1" s="1"/>
  <c r="J33" i="9" s="1"/>
  <c r="I53" i="3"/>
  <c r="I35" i="1"/>
  <c r="I33" i="9" s="1"/>
  <c r="G36" i="9"/>
  <c r="G42" i="1"/>
  <c r="A61" i="3" s="1"/>
  <c r="I54" i="3"/>
  <c r="H57" i="3"/>
  <c r="I56" i="3" s="1"/>
  <c r="D58" i="3"/>
  <c r="J33" i="1" s="1"/>
  <c r="J31" i="9" s="1"/>
  <c r="I33" i="1"/>
  <c r="I31" i="9" s="1"/>
  <c r="G58" i="3"/>
  <c r="J36" i="1" s="1"/>
  <c r="J34" i="9" s="1"/>
  <c r="I36" i="1"/>
  <c r="I34" i="9" s="1"/>
  <c r="H31" i="1"/>
  <c r="B57" i="3"/>
  <c r="C58" i="3"/>
  <c r="J32" i="1" s="1"/>
  <c r="J30" i="9" s="1"/>
  <c r="I32" i="1"/>
  <c r="I30" i="9" s="1"/>
  <c r="V6" i="6" l="1"/>
  <c r="N6" i="6"/>
  <c r="C20" i="2"/>
  <c r="G40" i="9"/>
  <c r="H58" i="3"/>
  <c r="J38" i="1" s="1"/>
  <c r="J36" i="9" s="1"/>
  <c r="I38" i="1"/>
  <c r="I36" i="9" s="1"/>
  <c r="I31" i="1"/>
  <c r="B58" i="3"/>
  <c r="J31" i="1" s="1"/>
  <c r="J29" i="9" s="1"/>
  <c r="H29" i="9"/>
  <c r="H42" i="1"/>
  <c r="H40" i="9" s="1"/>
  <c r="I57" i="3" l="1"/>
  <c r="I58" i="3" s="1"/>
  <c r="E45" i="1"/>
  <c r="E47" i="1"/>
  <c r="I42" i="1"/>
  <c r="I29" i="9"/>
  <c r="C46" i="2" l="1"/>
  <c r="C47" i="2" s="1"/>
  <c r="E45" i="9"/>
  <c r="F51" i="1"/>
  <c r="J47" i="1"/>
  <c r="J45" i="1"/>
  <c r="J43" i="9" s="1"/>
  <c r="E43" i="9"/>
  <c r="I40" i="9"/>
  <c r="J42" i="1"/>
  <c r="J40" i="9" s="1"/>
  <c r="F50" i="1"/>
  <c r="C37" i="2" l="1"/>
  <c r="C38" i="2" s="1"/>
  <c r="C39" i="2" s="1"/>
  <c r="C40" i="2" s="1"/>
  <c r="C42" i="2" s="1"/>
  <c r="G50" i="1" s="1"/>
  <c r="G48" i="9" s="1"/>
  <c r="D20" i="2"/>
  <c r="J45" i="9"/>
  <c r="F49" i="9"/>
  <c r="F53" i="1"/>
  <c r="F48" i="9"/>
  <c r="C30" i="2" l="1"/>
  <c r="F51" i="9"/>
  <c r="F55" i="1"/>
  <c r="C48" i="2"/>
  <c r="F56" i="1" l="1"/>
  <c r="F54" i="9" s="1"/>
  <c r="F53" i="9"/>
  <c r="C34" i="2"/>
  <c r="C3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marcher</author>
    <author>IT</author>
    <author>Scott Todd</author>
  </authors>
  <commentList>
    <comment ref="B4" authorId="0" shapeId="0" xr:uid="{00000000-0006-0000-0100-000001000000}">
      <text>
        <r>
          <rPr>
            <sz val="8"/>
            <color indexed="81"/>
            <rFont val="Tahoma"/>
            <family val="2"/>
          </rPr>
          <t>Enter the name of the applicant(s) and the Member number.</t>
        </r>
      </text>
    </comment>
    <comment ref="B6" authorId="0" shapeId="0" xr:uid="{00000000-0006-0000-0100-000002000000}">
      <text>
        <r>
          <rPr>
            <sz val="8"/>
            <color indexed="81"/>
            <rFont val="Tahoma"/>
            <family val="2"/>
          </rPr>
          <t>If number of dependants &gt;4, perform full living allowance review and refer to the lending team</t>
        </r>
      </text>
    </comment>
    <comment ref="B10" authorId="0" shapeId="0" xr:uid="{00000000-0006-0000-0100-000003000000}">
      <text>
        <r>
          <rPr>
            <sz val="8"/>
            <color indexed="81"/>
            <rFont val="Tahoma"/>
            <family val="2"/>
          </rPr>
          <t>Enter the proposed limit for the new credit card (min $1000).</t>
        </r>
      </text>
    </comment>
    <comment ref="D10" authorId="0" shapeId="0" xr:uid="{00000000-0006-0000-0100-000004000000}">
      <text>
        <r>
          <rPr>
            <sz val="8"/>
            <color indexed="81"/>
            <rFont val="Tahoma"/>
            <family val="2"/>
          </rPr>
          <t>Enter the proposed limit for the new credit card (min $1000).</t>
        </r>
      </text>
    </comment>
    <comment ref="E10" authorId="0" shapeId="0" xr:uid="{00000000-0006-0000-0100-000005000000}">
      <text>
        <r>
          <rPr>
            <sz val="8"/>
            <color indexed="81"/>
            <rFont val="Tahoma"/>
            <family val="2"/>
          </rPr>
          <t>Enter the proposed limit for the new credit card (min $1000).</t>
        </r>
      </text>
    </comment>
    <comment ref="B12" authorId="1" shapeId="0" xr:uid="{00000000-0006-0000-0100-000006000000}">
      <text>
        <r>
          <rPr>
            <sz val="8"/>
            <color indexed="81"/>
            <rFont val="Tahoma"/>
            <family val="2"/>
          </rPr>
          <t>Use the actual rate of the product.</t>
        </r>
      </text>
    </comment>
    <comment ref="D12" authorId="1" shapeId="0" xr:uid="{00000000-0006-0000-0100-000007000000}">
      <text>
        <r>
          <rPr>
            <sz val="8"/>
            <color indexed="81"/>
            <rFont val="Tahoma"/>
            <family val="2"/>
          </rPr>
          <t>Use the actual rate of the product.</t>
        </r>
      </text>
    </comment>
    <comment ref="E12" authorId="1" shapeId="0" xr:uid="{00000000-0006-0000-0100-000008000000}">
      <text>
        <r>
          <rPr>
            <sz val="8"/>
            <color indexed="81"/>
            <rFont val="Tahoma"/>
            <family val="2"/>
          </rPr>
          <t>Use the actual rate of the product.</t>
        </r>
      </text>
    </comment>
    <comment ref="B14" authorId="0" shapeId="0" xr:uid="{00000000-0006-0000-0100-000009000000}">
      <text>
        <r>
          <rPr>
            <sz val="8"/>
            <color indexed="81"/>
            <rFont val="Tahoma"/>
            <family val="2"/>
          </rPr>
          <t>Enter the term in months and the calculator will convert to years for the calculation.</t>
        </r>
      </text>
    </comment>
    <comment ref="D14" authorId="0" shapeId="0" xr:uid="{00000000-0006-0000-0100-00000A000000}">
      <text>
        <r>
          <rPr>
            <sz val="8"/>
            <color indexed="81"/>
            <rFont val="Tahoma"/>
            <family val="2"/>
          </rPr>
          <t>Enter the term in months and the calculator will convert to years for the calculation.</t>
        </r>
      </text>
    </comment>
    <comment ref="E14" authorId="0" shapeId="0" xr:uid="{00000000-0006-0000-0100-00000B000000}">
      <text>
        <r>
          <rPr>
            <sz val="8"/>
            <color indexed="81"/>
            <rFont val="Tahoma"/>
            <family val="2"/>
          </rPr>
          <t>Enter the term in months and the calculator will convert to years for the calculation.</t>
        </r>
      </text>
    </comment>
    <comment ref="G22" authorId="0" shapeId="0" xr:uid="{00000000-0006-0000-0100-00000C000000}">
      <text>
        <r>
          <rPr>
            <sz val="8"/>
            <color indexed="81"/>
            <rFont val="Tahoma"/>
            <family val="2"/>
          </rPr>
          <t>Enter total limits for all credit cards (not being paid out by this facility).</t>
        </r>
      </text>
    </comment>
    <comment ref="G23" authorId="0" shapeId="0" xr:uid="{00000000-0006-0000-0100-00000D000000}">
      <text>
        <r>
          <rPr>
            <sz val="8"/>
            <color indexed="81"/>
            <rFont val="Tahoma"/>
            <family val="2"/>
          </rPr>
          <t>Enter total limits for all credit cards (not being paid out by this facility).</t>
        </r>
      </text>
    </comment>
    <comment ref="G24" authorId="0" shapeId="0" xr:uid="{00000000-0006-0000-0100-00000E000000}">
      <text>
        <r>
          <rPr>
            <sz val="8"/>
            <color indexed="81"/>
            <rFont val="Tahoma"/>
            <family val="2"/>
          </rPr>
          <t>Enter total limits for all credit cards (not being paid out by this facility).</t>
        </r>
      </text>
    </comment>
    <comment ref="G25" authorId="0" shapeId="0" xr:uid="{00000000-0006-0000-0100-00000F000000}">
      <text>
        <r>
          <rPr>
            <sz val="8"/>
            <color indexed="81"/>
            <rFont val="Tahoma"/>
            <family val="2"/>
          </rPr>
          <t>Enter total limits for secured lines of credit only. Repay @ 1% of limits.</t>
        </r>
      </text>
    </comment>
    <comment ref="H27" authorId="0" shapeId="0" xr:uid="{00000000-0006-0000-0100-000010000000}">
      <text>
        <r>
          <rPr>
            <sz val="8"/>
            <color indexed="81"/>
            <rFont val="Tahoma"/>
            <family val="2"/>
          </rPr>
          <t>Enter monthly rental payments here. If weekly / fortnightly multiply by 52 or 26 and divide by 12 to get monthly payment.</t>
        </r>
      </text>
    </comment>
    <comment ref="B31" authorId="0" shapeId="0" xr:uid="{00000000-0006-0000-0100-000011000000}">
      <text>
        <r>
          <rPr>
            <sz val="8"/>
            <color indexed="81"/>
            <rFont val="Tahoma"/>
            <family val="2"/>
          </rPr>
          <t>Gross income is the amount shown on the payslip before taxes are deducted.
Sole trader income should be entered into the personal income boxes due to application of personal tax rates.</t>
        </r>
      </text>
    </comment>
    <comment ref="D31" authorId="0" shapeId="0" xr:uid="{00000000-0006-0000-0100-000012000000}">
      <text>
        <r>
          <rPr>
            <sz val="8"/>
            <color indexed="81"/>
            <rFont val="Tahoma"/>
            <family val="2"/>
          </rPr>
          <t xml:space="preserve">Enter the applicant's Average Annual Gross Income including Overtime (before Tax)
The difference between this and the Base Gross Income is added to the Base Income to calculate the Gross Annual Income.
Note that a percentage Haircut is applied to the extra Overtime.
</t>
        </r>
      </text>
    </comment>
    <comment ref="F31" authorId="0" shapeId="0" xr:uid="{00000000-0006-0000-0100-000013000000}">
      <text>
        <r>
          <rPr>
            <sz val="8"/>
            <color indexed="81"/>
            <rFont val="Tahoma"/>
            <family val="2"/>
          </rPr>
          <t>Annual rental income before tax. 
80% is used for the calculation.
It is included in the Income Tax calculation.</t>
        </r>
      </text>
    </comment>
    <comment ref="B37" authorId="2" shapeId="0" xr:uid="{00000000-0006-0000-0100-000014000000}">
      <text>
        <r>
          <rPr>
            <b/>
            <sz val="9"/>
            <color indexed="81"/>
            <rFont val="Tahoma"/>
            <family val="2"/>
          </rPr>
          <t>Where income is included, you should identify the income type / source across</t>
        </r>
      </text>
    </comment>
    <comment ref="E38" authorId="0" shapeId="0" xr:uid="{00000000-0006-0000-0100-000015000000}">
      <text>
        <r>
          <rPr>
            <sz val="8"/>
            <color indexed="81"/>
            <rFont val="Tahoma"/>
            <family val="2"/>
          </rPr>
          <t>Enter current and previous years (below) NPBT. Last two years will be averaged for purposes of income calculation.</t>
        </r>
      </text>
    </comment>
    <comment ref="F38" authorId="0" shapeId="0" xr:uid="{00000000-0006-0000-0100-000016000000}">
      <text>
        <r>
          <rPr>
            <sz val="8"/>
            <color indexed="81"/>
            <rFont val="Tahoma"/>
            <family val="2"/>
          </rPr>
          <t>Annual rental income before tax. 60% is used for the calculation.</t>
        </r>
      </text>
    </comment>
    <comment ref="I41" authorId="0" shapeId="0" xr:uid="{00000000-0006-0000-0100-000017000000}">
      <text>
        <r>
          <rPr>
            <sz val="8"/>
            <color indexed="81"/>
            <rFont val="Tahoma"/>
            <family val="2"/>
          </rPr>
          <t>Depreciation &amp; amortisation only.</t>
        </r>
      </text>
    </comment>
    <comment ref="E46" authorId="0" shapeId="0" xr:uid="{00000000-0006-0000-0100-000018000000}">
      <text>
        <r>
          <rPr>
            <sz val="8"/>
            <color indexed="81"/>
            <rFont val="Tahoma"/>
            <family val="2"/>
          </rPr>
          <t>Overide should b used where either:
a) Dependants &gt; 4
b) Living expenses exceed that provided in calculated living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author>
  </authors>
  <commentList>
    <comment ref="A47" authorId="0" shapeId="0" xr:uid="{00000000-0006-0000-0300-000001000000}">
      <text>
        <r>
          <rPr>
            <b/>
            <sz val="9"/>
            <color indexed="81"/>
            <rFont val="Tahoma"/>
            <family val="2"/>
          </rPr>
          <t>The Rental Income (80%) is now used in calculating the Taxable Income.  This is the new P11 Policy standard.</t>
        </r>
        <r>
          <rPr>
            <sz val="9"/>
            <color indexed="81"/>
            <rFont val="Tahoma"/>
            <family val="2"/>
          </rPr>
          <t xml:space="preserve">
</t>
        </r>
      </text>
    </comment>
  </commentList>
</comments>
</file>

<file path=xl/sharedStrings.xml><?xml version="1.0" encoding="utf-8"?>
<sst xmlns="http://schemas.openxmlformats.org/spreadsheetml/2006/main" count="506" uniqueCount="346">
  <si>
    <t>Credit Servicing Calculator - Help Reference</t>
  </si>
  <si>
    <t>PRINTING, REFRESHING AND MOVING AROUND THE CALCULATOR</t>
  </si>
  <si>
    <t>Refresh Button</t>
  </si>
  <si>
    <t>Press to clear the calculator and start again with a new calculation.</t>
  </si>
  <si>
    <t>Zoom / 100% Button</t>
  </si>
  <si>
    <t>Press to toggle between the maximum Full screen view of the entire page and a 100% view.</t>
  </si>
  <si>
    <t>Preview Button</t>
  </si>
  <si>
    <t>Press to print preview the Calculator Print Page.</t>
  </si>
  <si>
    <t>Print Button</t>
  </si>
  <si>
    <t>Press to print the Calculator Print Page without preview.</t>
  </si>
  <si>
    <t>Tab Key</t>
  </si>
  <si>
    <t>If your tab key does not move you between the calculator fields, click on:</t>
  </si>
  <si>
    <t>Tools, Options, Transition and then ensure that the Transition navigation box is NOT ticked.</t>
  </si>
  <si>
    <t>Applicant Name</t>
  </si>
  <si>
    <t>Enter borrower surname(s) and initials.</t>
  </si>
  <si>
    <t>Borrower Type</t>
  </si>
  <si>
    <t>Select the drop down menu and select the appropriate borrower / family unit. If number of dependants &gt;4, perform full living allowance review and refer to the lending team</t>
  </si>
  <si>
    <t>Loan - Owner Occupied</t>
  </si>
  <si>
    <t>Enter total proposed new (Owner Occupied) loan amount(s).</t>
  </si>
  <si>
    <t>Loan - Investment</t>
  </si>
  <si>
    <t>Enter total proposed new (Investment) loan amount(s).</t>
  </si>
  <si>
    <t>Loan Interest Rate (p.a)</t>
  </si>
  <si>
    <t>Enter the actual loan rate for the loan. The calculator automatically adds 2.25% to this rate and uses the higher of the combined rate or 7.25%.
If the loan is a honeymoon or fixed rate loan, use the standard variable rate that the loan will revert to at the end of the fixed/honeymoon period.</t>
  </si>
  <si>
    <t>Loan Term (Months)</t>
  </si>
  <si>
    <t>Enter the loan term in months.</t>
  </si>
  <si>
    <t>For further advances, enter remaining term, rounded to the nearest year.</t>
  </si>
  <si>
    <t>CALCULATED LIVING EXPENSES</t>
  </si>
  <si>
    <t>Calculated</t>
  </si>
  <si>
    <t xml:space="preserve">Total living expenses will be automatically calculated based upon the number of adult singles, adult couples and </t>
  </si>
  <si>
    <t>total dependent children.</t>
  </si>
  <si>
    <t>Overide (refer Help)</t>
  </si>
  <si>
    <t>The calculated amount should be manually increased in circumstances where the declared expenditure in the loan</t>
  </si>
  <si>
    <r>
      <t xml:space="preserve">application exceeds the calculated living expenses amount. If an application declares that </t>
    </r>
    <r>
      <rPr>
        <i/>
        <sz val="10"/>
        <rFont val="Arial"/>
        <family val="2"/>
      </rPr>
      <t>actual</t>
    </r>
    <r>
      <rPr>
        <sz val="10"/>
        <rFont val="Arial"/>
        <family val="2"/>
      </rPr>
      <t xml:space="preserve"> living expenses are </t>
    </r>
  </si>
  <si>
    <r>
      <t xml:space="preserve">less than the </t>
    </r>
    <r>
      <rPr>
        <i/>
        <sz val="10"/>
        <rFont val="Arial"/>
        <family val="2"/>
      </rPr>
      <t>calculated</t>
    </r>
    <r>
      <rPr>
        <sz val="10"/>
        <rFont val="Arial"/>
        <family val="2"/>
      </rPr>
      <t xml:space="preserve"> living expenses,  do not attempt to reduce the calculated amount.  Simply explain the position </t>
    </r>
  </si>
  <si>
    <t>in your submission and provide evidence of claimed living costs.</t>
  </si>
  <si>
    <t>OTHER COMMITMENTS</t>
  </si>
  <si>
    <t>Other Loans - Owner Occupied</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</si>
  <si>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OWNER OCCUPIED</t>
    </r>
    <r>
      <rPr>
        <sz val="10"/>
        <rFont val="Arial"/>
        <family val="2"/>
      </rPr>
      <t xml:space="preserve"> facilities.</t>
    </r>
  </si>
  <si>
    <t>Other Loans - Investment</t>
  </si>
  <si>
    <r>
      <t xml:space="preserve">Enter total current limit/balance(s) and total monthly payment(s) for all </t>
    </r>
    <r>
      <rPr>
        <i/>
        <sz val="10"/>
        <rFont val="Arial"/>
        <family val="2"/>
      </rPr>
      <t>EXISTING</t>
    </r>
    <r>
      <rPr>
        <sz val="10"/>
        <rFont val="Arial"/>
        <family val="2"/>
      </rPr>
      <t xml:space="preserve"> </t>
    </r>
    <r>
      <rPr>
        <b/>
        <sz val="10"/>
        <rFont val="Arial"/>
        <family val="2"/>
      </rPr>
      <t>INVESTMENT</t>
    </r>
    <r>
      <rPr>
        <sz val="10"/>
        <rFont val="Arial"/>
        <family val="2"/>
      </rPr>
      <t xml:space="preserve"> facilities.</t>
    </r>
  </si>
  <si>
    <t>Credit Cards - CFCU / EasyStreet</t>
  </si>
  <si>
    <t>Enter total of all other CFCU and EasyStreet credit card limits.  Monthly payment commitments will be calculated automatically using the usual 3.2% of total limits, per month (i.e 38.4% per annum).</t>
  </si>
  <si>
    <t>Credit Cards - (AMIGO)</t>
  </si>
  <si>
    <t>Enter total of all other Amigo credit card limits.  Monthly payment commitments will be calculated automatically using the usual 3.5% of total limits, per month (i.e 42% per annum).</t>
  </si>
  <si>
    <t>Credit Cards - Other Banks</t>
  </si>
  <si>
    <t>Enter total of all other Banks credit card limits.  Monthly payment commitments will be calculated automatically using the usual 3.75% of total limits, per month (i.e 45% per annum).</t>
  </si>
  <si>
    <t>Other (Please Specify)</t>
  </si>
  <si>
    <t xml:space="preserve">Enter the total amount of any personal, lease or other committed payment(s) not already included in “Loans” or “Credit </t>
  </si>
  <si>
    <t>Cards”. Please specify details such as type of commitment and lender.</t>
  </si>
  <si>
    <t>Total</t>
  </si>
  <si>
    <t>Automatically calculates credit card payments and totals all other commitment payments.</t>
  </si>
  <si>
    <t>INCOME CALCULATIONS</t>
  </si>
  <si>
    <t>Gross Income of Applicants 1- 6</t>
  </si>
  <si>
    <t>Enter gross annual income for each applicant, including Sole Trader/Partnership Net Profit Before Tax.</t>
  </si>
  <si>
    <t>Gross Annual Rental Income</t>
  </si>
  <si>
    <t>Enter gross annual rental income using the lesser of:</t>
  </si>
  <si>
    <t xml:space="preserve"> - valuer’s estimate (per valuation report);</t>
  </si>
  <si>
    <t xml:space="preserve"> - current rent received (evidenced by statements); or</t>
  </si>
  <si>
    <t xml:space="preserve"> - letter from Real Estate Agent.</t>
  </si>
  <si>
    <t>Company NPBT, most recent year</t>
  </si>
  <si>
    <t>Enter total annual company Net Profit Before Tax for last financial year</t>
  </si>
  <si>
    <t>Company NPBT, previous year</t>
  </si>
  <si>
    <t>Enter total annual company Net Profit Before Tax for financial year before last</t>
  </si>
  <si>
    <t>Amt used as Company NPBT</t>
  </si>
  <si>
    <t xml:space="preserve">Automatically calculates Company Net Profit Before Tax, as set out in the Operations Manual.  </t>
  </si>
  <si>
    <t>Company/Business Addbacks</t>
  </si>
  <si>
    <t>Enter total amount of any allowable non-cash addbacks (i.e. depreciation).</t>
  </si>
  <si>
    <t>Centrelink Family Payments</t>
  </si>
  <si>
    <t>Enter total amount of eligible Centrelink Family payments (Type A &amp; B only).</t>
  </si>
  <si>
    <t>Total Net Income</t>
  </si>
  <si>
    <t>Automatically totals all personal, rental and company income, and deducts tax.</t>
  </si>
  <si>
    <t>Living Expenses</t>
  </si>
  <si>
    <t>The monthly payment for total proposed new/increased loan amount(s) will be automatically calculated.</t>
  </si>
  <si>
    <t>Loan Amount</t>
  </si>
  <si>
    <t>Automatically totals all proposed Owner Occupied and/or Investment loans being applied for.</t>
  </si>
  <si>
    <t>Total Costs</t>
  </si>
  <si>
    <t>Automatically totals all living expenses, proposed loan payments and other commitment payments.</t>
  </si>
  <si>
    <t>Net Disposable Income</t>
  </si>
  <si>
    <t xml:space="preserve">Automatically calculates net income after tax, living expenses, proposed new loan payments and all other commitment payments. </t>
  </si>
  <si>
    <t>ARA Yearly</t>
  </si>
  <si>
    <t>Automatically calculates the Assessed Repayment Amount per year, as below:</t>
  </si>
  <si>
    <t>"Total Net Income" minus "Total Costs" equals ARA</t>
  </si>
  <si>
    <t xml:space="preserve">"Total Net Income" equals gross income minus income tax </t>
  </si>
  <si>
    <t xml:space="preserve">"Total Costs" equals (assessed living expenses plus proposed repayments plus existing other debt repayments) </t>
  </si>
  <si>
    <t>ARA Monthly</t>
  </si>
  <si>
    <t>ARA must be at least $200 to be acceptable.  If less than $200 a policy exception is required.</t>
  </si>
  <si>
    <t>Maximum Loan Amount</t>
  </si>
  <si>
    <t xml:space="preserve">Maximum Loan Amount is for demonstrative purposes only and is shown in whole $1,000 amounts only. </t>
  </si>
  <si>
    <t>Where any new or existing investment loan(s) is involved, an asterix will appear indicating that the Maximum Loan Amount is</t>
  </si>
  <si>
    <t>an approximation only.  To determine the actual maximum servicing capacity, simply amend the amount applied for in line</t>
  </si>
  <si>
    <t>with the approximated loan amount until both amounts agree.  This may require a few attempts but, when the amounts are in</t>
  </si>
  <si>
    <t>equilibrium, the asterix will no longer appear.</t>
  </si>
  <si>
    <t xml:space="preserve">In any case, the Maximum Loan Amount in this calculator is limited to $2 million.  </t>
  </si>
  <si>
    <t>The maximum loan amount of any lending approval is subject to policy and processes as set out in the Consumer Credit</t>
  </si>
  <si>
    <t>Assessment Principles eg dependent on LVR, acceptable property guidelines and Lender's Mortgage Insurance approval.</t>
  </si>
  <si>
    <t>Community First</t>
  </si>
  <si>
    <t>CFCU V13.19 - Dec 25</t>
  </si>
  <si>
    <t>Mortgage Loan Servicing Calculator</t>
  </si>
  <si>
    <t>Couple 1 Child</t>
  </si>
  <si>
    <t>Splits / Sub-Loans</t>
  </si>
  <si>
    <t>Split Loan 2</t>
  </si>
  <si>
    <t>Split Loan 3</t>
  </si>
  <si>
    <t>Help in using this Calculator is available on the previous page.</t>
  </si>
  <si>
    <t>Credit Card - Limit</t>
  </si>
  <si>
    <t>Total Loan Amount</t>
  </si>
  <si>
    <t>Use the Tab Key to move between fields on this page.</t>
  </si>
  <si>
    <t>Loan Interest Rate (p.a.)</t>
  </si>
  <si>
    <t>Interest Rate Type</t>
  </si>
  <si>
    <t>Fixed / Discounted</t>
  </si>
  <si>
    <t>Loan Term (Years)</t>
  </si>
  <si>
    <t>Total Monthly Payment</t>
  </si>
  <si>
    <t>Other Commitments not being Financed by the Proposed Loan</t>
  </si>
  <si>
    <t>Type</t>
  </si>
  <si>
    <t>Amount / Limit</t>
  </si>
  <si>
    <t>Total Monthly Payments</t>
  </si>
  <si>
    <t>Other Mortgage Loans - Owner Occupied</t>
  </si>
  <si>
    <t>Other Mortgage Loans - Investment</t>
  </si>
  <si>
    <t xml:space="preserve">New calc  </t>
  </si>
  <si>
    <t>new line and calc</t>
  </si>
  <si>
    <t>Secured Lines of Credit (Total Limits)</t>
  </si>
  <si>
    <t>Other  (Please Specify)</t>
  </si>
  <si>
    <t>Monthly Rent (Specify Address)</t>
  </si>
  <si>
    <t>Income Calculations</t>
  </si>
  <si>
    <t>Gross Income (Before Tax)</t>
  </si>
  <si>
    <t>Income Frequency</t>
  </si>
  <si>
    <t>Annual Income
inc Overtime (Before Tax)</t>
  </si>
  <si>
    <t>Gross Annual Income</t>
  </si>
  <si>
    <t>Gross Annual  Rental Income</t>
  </si>
  <si>
    <t xml:space="preserve"> Total Gross    Annual Income</t>
  </si>
  <si>
    <t>Income Tax</t>
  </si>
  <si>
    <t>Net Annual Income (After Tax)</t>
  </si>
  <si>
    <t>Net Monthly Income (After Tax)</t>
  </si>
  <si>
    <t>Applicant 1</t>
  </si>
  <si>
    <t>Annually</t>
  </si>
  <si>
    <t>Applicant 2</t>
  </si>
  <si>
    <t>Weekly</t>
  </si>
  <si>
    <t>Applicant 3</t>
  </si>
  <si>
    <t>Applicant 4</t>
  </si>
  <si>
    <t>Applicant 5</t>
  </si>
  <si>
    <t>Applicant 6</t>
  </si>
  <si>
    <t>Non-Taxable Income</t>
  </si>
  <si>
    <t>Family Tax Benefit</t>
  </si>
  <si>
    <t>Company NPBT - most recent year</t>
  </si>
  <si>
    <t>Company NPBT - previous year</t>
  </si>
  <si>
    <t>Amount Used as Company NPBT</t>
  </si>
  <si>
    <t>Company/Business non-cash addbacks (depreciation &amp; amortisation only)</t>
  </si>
  <si>
    <t>Totals</t>
  </si>
  <si>
    <t>Calculated Living Expenses</t>
  </si>
  <si>
    <t>Per Annum</t>
  </si>
  <si>
    <t>Living Exp. Per Month</t>
  </si>
  <si>
    <t>Applicable for ARA</t>
  </si>
  <si>
    <t>Serviceability Calculations</t>
  </si>
  <si>
    <t>LTI</t>
  </si>
  <si>
    <r>
      <rPr>
        <b/>
        <sz val="10"/>
        <rFont val="Arial"/>
        <family val="2"/>
      </rPr>
      <t>less</t>
    </r>
    <r>
      <rPr>
        <sz val="10"/>
        <rFont val="Arial"/>
        <family val="2"/>
      </rPr>
      <t xml:space="preserve"> Living Expenses</t>
    </r>
  </si>
  <si>
    <t>DTI</t>
  </si>
  <si>
    <r>
      <rPr>
        <b/>
        <sz val="10"/>
        <rFont val="Arial"/>
        <family val="2"/>
      </rPr>
      <t>less</t>
    </r>
    <r>
      <rPr>
        <sz val="10"/>
        <rFont val="Arial"/>
        <family val="2"/>
      </rPr>
      <t xml:space="preserve"> Other Commitment Payments</t>
    </r>
  </si>
  <si>
    <t>DTI&gt; 6</t>
  </si>
  <si>
    <r>
      <rPr>
        <b/>
        <sz val="10"/>
        <rFont val="Arial"/>
        <family val="2"/>
      </rPr>
      <t>Equals</t>
    </r>
    <r>
      <rPr>
        <sz val="10"/>
        <rFont val="Arial"/>
        <family val="2"/>
      </rPr>
      <t xml:space="preserve"> ARA </t>
    </r>
  </si>
  <si>
    <t>Meeting the Minimum ARA Requirement does not guarantee the loan will be accepted. Acceptance is subject to criteria as set out in the Consumer Credit Assessment Principles including acceptable property valuation and Lender's Mortgage Insurance (if applicable).</t>
  </si>
  <si>
    <t>Net Surplus (ARA minus Proposed Loan Repayments)</t>
  </si>
  <si>
    <t>Net Surplus Monthly</t>
  </si>
  <si>
    <r>
      <rPr>
        <b/>
        <sz val="10"/>
        <rFont val="Arial"/>
        <family val="2"/>
      </rPr>
      <t>Fortnightly Centrelink Payments (Refer to Policy for acceptable forms)</t>
    </r>
  </si>
  <si>
    <t>Company/Business non-cash addbacks (eg: depreciation)</t>
  </si>
  <si>
    <t>Community First Loan Servicing Calculator - Calculations Reference</t>
  </si>
  <si>
    <t>Payment Frequency</t>
  </si>
  <si>
    <t>Annual Multiple</t>
  </si>
  <si>
    <t>Tax-Free Income</t>
  </si>
  <si>
    <t>Servicing Test Interest Rate per annum</t>
  </si>
  <si>
    <t>Standard Variable Loyalty Rate (SVR)</t>
  </si>
  <si>
    <t>Fortnightly</t>
  </si>
  <si>
    <t>Pre-Tax Deductions</t>
  </si>
  <si>
    <t>Buffer</t>
  </si>
  <si>
    <t>Monthly</t>
  </si>
  <si>
    <t>Child Support</t>
  </si>
  <si>
    <t>Quarterly</t>
  </si>
  <si>
    <t>Centrelink Pension</t>
  </si>
  <si>
    <t>Loan Amount Payment Calculations</t>
  </si>
  <si>
    <t>Proposed Loan Details - Split 1</t>
  </si>
  <si>
    <t>Proposed CCard Details</t>
  </si>
  <si>
    <t>Applicable ARA Interest Rate</t>
  </si>
  <si>
    <t>Superannuation Pension</t>
  </si>
  <si>
    <t>Payment Calculations results are displayed here for the proposed loan at both the proposed loan interest rate and the ??? Test Rate. The higher rate will be used in the NSR calculation.</t>
  </si>
  <si>
    <t>Limit</t>
  </si>
  <si>
    <t>Other</t>
  </si>
  <si>
    <t>Interest Rate</t>
  </si>
  <si>
    <t>Monthly Repayment</t>
  </si>
  <si>
    <t>Proposed Loan Details - Split 2</t>
  </si>
  <si>
    <t>Proposed Loan Details - Split 3</t>
  </si>
  <si>
    <t>CFCU / Easystreet</t>
  </si>
  <si>
    <t>Amigo</t>
  </si>
  <si>
    <t>Other Banks</t>
  </si>
  <si>
    <t>Credit Card Monthly Payment Percent</t>
  </si>
  <si>
    <t>Rental Allowance Factor</t>
  </si>
  <si>
    <t>Company Rental Factor</t>
  </si>
  <si>
    <t>Extra Annual Overtime Income - Haircut Rate</t>
  </si>
  <si>
    <t>Applicant Income Calculations</t>
  </si>
  <si>
    <t>Company NPBT</t>
  </si>
  <si>
    <t>Gross Income</t>
  </si>
  <si>
    <t>Frequency</t>
  </si>
  <si>
    <t>Gross Base Annual Income</t>
  </si>
  <si>
    <t>Extra Annual Overtime Income (after haircut)</t>
  </si>
  <si>
    <t>Total Gross Annual Income</t>
  </si>
  <si>
    <t>Pro-Rata Allocation of Rental Expense</t>
  </si>
  <si>
    <t>Deductible Interest - This Inv Loan (Not used)</t>
  </si>
  <si>
    <t>Deductible Interest - Other Inv Loans (Not used)</t>
  </si>
  <si>
    <t>Estimate of Taxable Income</t>
  </si>
  <si>
    <t>Tax Scale Base</t>
  </si>
  <si>
    <t>N/A</t>
  </si>
  <si>
    <t>Base Tax Amount</t>
  </si>
  <si>
    <t>Salary Over Base Tax Amount</t>
  </si>
  <si>
    <t>Tax Scale Rate</t>
  </si>
  <si>
    <t>Tax on Over Base Amount</t>
  </si>
  <si>
    <t>Tax</t>
  </si>
  <si>
    <t>Medicare Levy</t>
  </si>
  <si>
    <t>Total Tax (Incl Medicare Levy)</t>
  </si>
  <si>
    <t xml:space="preserve">Total Net Annual Income </t>
  </si>
  <si>
    <t xml:space="preserve">Total Net Monthly Income </t>
  </si>
  <si>
    <t>Monthly Living Expenses</t>
  </si>
  <si>
    <t>Lookup Tables</t>
  </si>
  <si>
    <t>Single</t>
  </si>
  <si>
    <t>Couple</t>
  </si>
  <si>
    <t>Couple 2 Child</t>
  </si>
  <si>
    <t>Couple 3 Child</t>
  </si>
  <si>
    <t>Couple 4 Child</t>
  </si>
  <si>
    <t>Couple 5 Child</t>
  </si>
  <si>
    <t>Couple 6 Child</t>
  </si>
  <si>
    <t>Couple 7 Child</t>
  </si>
  <si>
    <t>Couple 8 Child</t>
  </si>
  <si>
    <t>Single Parent 1 Child</t>
  </si>
  <si>
    <t>Single Parent 2 Child</t>
  </si>
  <si>
    <t>Single Parent 3 Child</t>
  </si>
  <si>
    <t>Single Parent 4 Child</t>
  </si>
  <si>
    <t>Single Parent 5 Child</t>
  </si>
  <si>
    <t>Single Parent 6 Child</t>
  </si>
  <si>
    <t>Single Parent 7 Child</t>
  </si>
  <si>
    <t>Single Parent 8 Child</t>
  </si>
  <si>
    <t>Tax Scales for FY 2020/21</t>
  </si>
  <si>
    <t>Gross Annual Salary</t>
  </si>
  <si>
    <t>Company Tax Rate</t>
  </si>
  <si>
    <t>Extra Annual Overtime Income - Haircut</t>
  </si>
  <si>
    <t>Minimum APRA Rate for Other Mortgage</t>
  </si>
  <si>
    <t>Mortgage Assessment Floor Rate</t>
  </si>
  <si>
    <t>Period in Months for Other Mortgage OO Calc</t>
  </si>
  <si>
    <t>Loan Term in Months</t>
  </si>
  <si>
    <t>Period in Months for Other Mortgage Inv Calc</t>
  </si>
  <si>
    <t>Living Expenses for NSR Calculation</t>
  </si>
  <si>
    <t>Adult Singles</t>
  </si>
  <si>
    <t>No Longer Used</t>
  </si>
  <si>
    <t>Adult Couples (or single with partner)</t>
  </si>
  <si>
    <t>Each Dependant Child</t>
  </si>
  <si>
    <t>Credit Card Monthly Min Payment - CFCU/Easystreet</t>
  </si>
  <si>
    <t>Credit Card Monthly Min Payment - Amigo</t>
  </si>
  <si>
    <t>Credit Card Monthly Min Payment - Other Banks</t>
  </si>
  <si>
    <t>Secured Credit Monthly Min Payment</t>
  </si>
  <si>
    <t>Interest Rate Used in ARA Calc</t>
  </si>
  <si>
    <t>NSR Calculated</t>
  </si>
  <si>
    <t>NSR Calculated Formatted</t>
  </si>
  <si>
    <t>NSR Required</t>
  </si>
  <si>
    <t>NSR Required Formatted</t>
  </si>
  <si>
    <t>NSR Test Result</t>
  </si>
  <si>
    <t>Max Loan Amount NSR Required</t>
  </si>
  <si>
    <t>Maximum Loan Payment Funds Available</t>
  </si>
  <si>
    <t>Monthly Maximum Loan Payment</t>
  </si>
  <si>
    <t>Calculated Max Loan Amount</t>
  </si>
  <si>
    <t>Adjusted Calculated Max Loan Amt</t>
  </si>
  <si>
    <t>Permitted Max Loan Amount</t>
  </si>
  <si>
    <t>DSR</t>
  </si>
  <si>
    <t>Blank Value</t>
  </si>
  <si>
    <t>Zero Value</t>
  </si>
  <si>
    <t>ARA</t>
  </si>
  <si>
    <t>Monthly ARA Surplus</t>
  </si>
  <si>
    <t>ARA Test Result</t>
  </si>
  <si>
    <t>Maximum Loan Amount Description</t>
  </si>
  <si>
    <t>No Investment Loan or Income Involved</t>
  </si>
  <si>
    <t>Loan Amount = Maximum Loan Amount</t>
  </si>
  <si>
    <t>Maximum Loan Amount Text</t>
  </si>
  <si>
    <t>Count</t>
  </si>
  <si>
    <t>Error Message</t>
  </si>
  <si>
    <t>Increase by &gt; 25%</t>
  </si>
  <si>
    <t>Note: Gross Annual Income capped at 25% above previous year</t>
  </si>
  <si>
    <t>Variable</t>
  </si>
  <si>
    <t>HEM DATA</t>
  </si>
  <si>
    <t>Q2 2025</t>
  </si>
  <si>
    <t>Australia</t>
  </si>
  <si>
    <t>Couple with 1 child</t>
  </si>
  <si>
    <t>Couple with 2 children</t>
  </si>
  <si>
    <t>Couple with 3 or more children</t>
  </si>
  <si>
    <t>Single person</t>
  </si>
  <si>
    <t>Single parent with 1 child</t>
  </si>
  <si>
    <t>Single parent with 2 children</t>
  </si>
  <si>
    <t>Single parent with 3 or more children</t>
  </si>
  <si>
    <t>When bands change, need to Copy &amp; Paste Values Transposed into HEM Lookup Table CalculationsReference</t>
  </si>
  <si>
    <t>Change Log</t>
  </si>
  <si>
    <t>Version</t>
  </si>
  <si>
    <t>Date</t>
  </si>
  <si>
    <t>Change</t>
  </si>
  <si>
    <r>
      <t xml:space="preserve">Adjust formula for ARA. Use Applicable_Living _Expenses instead of Calculated Living Expenses.
</t>
    </r>
    <r>
      <rPr>
        <b/>
        <sz val="10"/>
        <rFont val="Calibri"/>
        <family val="2"/>
      </rPr>
      <t>ARA=Total_Net_Annual_Income-Applicable_Living_Expenses-Other_Commits_Total_Annual</t>
    </r>
  </si>
  <si>
    <t>Change to use HEM Monthly Living Expenses table instead of the HPI table.
Change SVR from 5.87% to 5.62%</t>
  </si>
  <si>
    <t>Don't include Rental Income, just Gross Annual Income+CentreLink as Income to lookup HEM data.</t>
  </si>
  <si>
    <t>Change SVR from 5.62% to 5.37%.
Update HEM Monthly Living Expenses table.</t>
  </si>
  <si>
    <t>Update to latest HEM Monthly Living Expenses table.</t>
  </si>
  <si>
    <t>The Rental Income is not used in calculating the Taxable Income.  Instead 80% of the Rental Income is taken to be after tax. This is an industry standard.</t>
  </si>
  <si>
    <t>Other Mortgage Repayments now calculated using APRA requirements - 7.37% over 30 years Owner Occupied, 25 years Investment.</t>
  </si>
  <si>
    <t>Add selectable Loan Term period for the Other Mortgage Repayment calculation (changed in 10.5).</t>
  </si>
  <si>
    <t>Update to latest Q3 2015 HEM Monthly Living Expenses table.</t>
  </si>
  <si>
    <t>Add Avg Annual Income including Overtime. Diff with this and base + 20% haircut is added to Annual Income. Update to latest Q1 2016 HEM Monthly Living Expenses table.  Change SVR from 5.37% to 5.22%.  Change Buffer from 2% to 2.03%. Change APRA from 7.37% to 7.25%.</t>
  </si>
  <si>
    <t>Update to latest Q2 2016 HEM Monthly Living Expenses table.</t>
  </si>
  <si>
    <t>Update to latest Q3 2016 HEM Monthly Living Expenses table.</t>
  </si>
  <si>
    <t>Update to latest Q4 2016 HEM Monthly Living Expenses table.</t>
  </si>
  <si>
    <t>Changes by Loan Admin</t>
  </si>
  <si>
    <t>Fix issue from Q4 HEM new bands. Adjust Max Loan to look at Living Exp Overide</t>
  </si>
  <si>
    <t>Update to latest Q1 2017 HEM Monthly Living Expenses table.</t>
  </si>
  <si>
    <t>Update to latest Q2 2017 HEM Monthly Living Expenses table.</t>
  </si>
  <si>
    <t>Rental Income is used in calculating Taxable Income.
Introduced Company Rental Allowance Factor at 60% to distinguish from the Residential Rental Allowance Factor of 80%.
Company Gross Annual Income capped at 25% above previous year (was 20%).</t>
  </si>
  <si>
    <t>Living Expenses now is based on 'Total' Gross Annual Income.  Medicare Levy applies after Min_TaxableIncome.</t>
  </si>
  <si>
    <t>Update to latest Q3 2017 HEM Monthly Living Expenses table. 
Weekly Income Multiple change from 52 to 365/7.  Fortnightly Income Multiple change from 26 to 365/14.</t>
  </si>
  <si>
    <t xml:space="preserve">Update to latest Q4 2017 HEM Monthly Living Expenses table. </t>
  </si>
  <si>
    <t>Update to latest Q1 2018 HEM Monthly Living Expenses table.  Taxable Income now does not include Rental Income.</t>
  </si>
  <si>
    <t>Update FY2019 Tax Rate Scales.</t>
  </si>
  <si>
    <t>Update to latest Q2 2018 HEM Monthly Living Expenses table. Note some lower incomes have $0 living expenses to force manual input.</t>
  </si>
  <si>
    <t>Change other CFCU Credit Card Repayment Percent from 3% to 3.2%. Add new Other Credit Card Repayment Percents for Amigo (3.5%) &amp; other banks (3.75%).</t>
  </si>
  <si>
    <t>HEM Q4 2018</t>
  </si>
  <si>
    <t>HEM Q2 2019 and changes to Assessment Rate</t>
  </si>
  <si>
    <t>HEM Q4 2019 and new assessment rate 3.84%</t>
  </si>
  <si>
    <t>HEM Q1 20 and new Floor Rate 5.25%</t>
  </si>
  <si>
    <t>New Tax Rates 20/21 and HEM Q2 20</t>
  </si>
  <si>
    <t xml:space="preserve">HEM Q4 </t>
  </si>
  <si>
    <t>DTI added to calculator, drop down for non taxable income and HEM Q1 2021</t>
  </si>
  <si>
    <t>HEM Q2 2021</t>
  </si>
  <si>
    <t xml:space="preserve">3% buffer rate </t>
  </si>
  <si>
    <t xml:space="preserve">Small change to LTI calcs. </t>
  </si>
  <si>
    <t>HEM Q4 2022</t>
  </si>
  <si>
    <t>HEM Q4 2023</t>
  </si>
  <si>
    <t>HEM Q1 2024 and Tax rates 24/25</t>
  </si>
  <si>
    <t>HEM Q4 2025</t>
  </si>
  <si>
    <t>HEM Q2 2025</t>
  </si>
  <si>
    <t>HEM 5% buffer loaded</t>
  </si>
  <si>
    <t>Update Values in White Cells Quarterly</t>
  </si>
  <si>
    <t>Head in workforce</t>
  </si>
  <si>
    <t>Other than
Housing
$ per week</t>
  </si>
  <si>
    <t>HPI (Weekly) June Qtr 2013</t>
  </si>
  <si>
    <t>HPI</t>
  </si>
  <si>
    <t>monthly</t>
  </si>
  <si>
    <t>HPI (Monthly)</t>
  </si>
  <si>
    <t>Source:</t>
  </si>
  <si>
    <t>http://melbourneinstitute.com/miaesr/publications/indicators/poverty-lines-australia.html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</si>
</sst>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_-&quot;$&quot;* #,##0_-;\-&quot;$&quot;* #,##0_-;_-&quot;$&quot;* &quot;-&quot;??_-;_-@_-"/>
    <numFmt numFmtId="166" formatCode="_-* #,##0_-;\-* #,##0_-;_-* &quot;-&quot;??_-;_-@_-"/>
    <numFmt numFmtId="167" formatCode="#,##0.000000"/>
    <numFmt numFmtId="168" formatCode="d\ mmmm\ yyyy"/>
    <numFmt numFmtId="169" formatCode="_-* #,##0.00000_-;\-* #,##0.00000_-;_-* &quot;-&quot;??_-;_-@_-"/>
    <numFmt numFmtId="170" formatCode="_-&quot;$&quot;* #,##0_-;[Red]\-&quot;$&quot;* #,##0_-;_-&quot;$&quot;* &quot;-&quot;??_-;_-@_-"/>
    <numFmt numFmtId="171" formatCode="&quot;$&quot;#,##0.00"/>
    <numFmt numFmtId="172" formatCode="mmmm\ yyyy;@"/>
    <numFmt numFmtId="173" formatCode="&quot;$&quot;#,##0"/>
    <numFmt numFmtId="174" formatCode="#,##0.000"/>
    <numFmt numFmtId="175" formatCode="0.000%"/>
  </numFmts>
  <fonts count="33" x14ac:knownFonts="1">
    <font>
      <sz val="10"/>
      <name val="Arial"/>
    </font>
    <font>
      <sz val="10"/>
      <name val="Arial"/>
      <family val="2"/>
    </font>
    <font>
      <b/>
      <sz val="10"/>
      <name val="Arial"/>
      <family val="2"/>
    </font>
    <font>
      <b/>
      <sz val="12"/>
      <name val="Arial"/>
      <family val="2"/>
    </font>
    <font>
      <sz val="8"/>
      <name val="Arial"/>
      <family val="2"/>
    </font>
    <font>
      <b/>
      <sz val="9"/>
      <name val="Arial"/>
      <family val="2"/>
    </font>
    <font>
      <sz val="12"/>
      <name val="Arial"/>
      <family val="2"/>
    </font>
    <font>
      <sz val="10"/>
      <color indexed="9"/>
      <name val="Arial"/>
      <family val="2"/>
    </font>
    <font>
      <i/>
      <sz val="10"/>
      <name val="Arial"/>
      <family val="2"/>
    </font>
    <font>
      <b/>
      <sz val="16"/>
      <name val="Arial"/>
      <family val="2"/>
    </font>
    <font>
      <sz val="8"/>
      <color indexed="81"/>
      <name val="Tahoma"/>
      <family val="2"/>
    </font>
    <font>
      <sz val="9"/>
      <name val="Arial"/>
      <family val="2"/>
    </font>
    <font>
      <b/>
      <sz val="10"/>
      <name val="Calibri"/>
      <family val="2"/>
    </font>
    <font>
      <sz val="9"/>
      <color indexed="81"/>
      <name val="Tahoma"/>
      <family val="2"/>
    </font>
    <font>
      <b/>
      <sz val="9"/>
      <color indexed="81"/>
      <name val="Tahoma"/>
      <family val="2"/>
    </font>
    <font>
      <b/>
      <sz val="10"/>
      <name val="Arial Narrow"/>
      <family val="2"/>
    </font>
    <font>
      <sz val="11"/>
      <color theme="0"/>
      <name val="Calibri"/>
      <family val="2"/>
      <scheme val="minor"/>
    </font>
    <font>
      <b/>
      <sz val="11"/>
      <color theme="0"/>
      <name val="Calibri"/>
      <family val="2"/>
      <scheme val="minor"/>
    </font>
    <font>
      <u/>
      <sz val="10"/>
      <color theme="10"/>
      <name val="Arial"/>
      <family val="2"/>
    </font>
    <font>
      <sz val="11"/>
      <color rgb="FF000000"/>
      <name val="Calibri"/>
      <family val="2"/>
    </font>
    <font>
      <sz val="10"/>
      <name val="Calibri"/>
      <family val="2"/>
      <scheme val="minor"/>
    </font>
    <font>
      <sz val="11"/>
      <color theme="3"/>
      <name val="Calibri"/>
      <family val="2"/>
      <scheme val="minor"/>
    </font>
    <font>
      <b/>
      <sz val="20"/>
      <color theme="3"/>
      <name val="Calibri"/>
      <family val="2"/>
      <scheme val="minor"/>
    </font>
    <font>
      <b/>
      <sz val="22"/>
      <color theme="3"/>
      <name val="Calibri"/>
      <family val="2"/>
      <scheme val="minor"/>
    </font>
    <font>
      <b/>
      <sz val="11"/>
      <color rgb="FF000000"/>
      <name val="Calibri"/>
      <family val="2"/>
    </font>
    <font>
      <b/>
      <sz val="11"/>
      <color theme="3"/>
      <name val="Times New Roman"/>
      <family val="1"/>
    </font>
    <font>
      <sz val="9"/>
      <color theme="3"/>
      <name val="Calibri"/>
      <family val="2"/>
      <scheme val="minor"/>
    </font>
    <font>
      <b/>
      <sz val="11"/>
      <color theme="4"/>
      <name val="Calibri"/>
      <family val="2"/>
      <scheme val="minor"/>
    </font>
    <font>
      <b/>
      <sz val="11"/>
      <color theme="4"/>
      <name val="Times New Roman"/>
      <family val="1"/>
    </font>
    <font>
      <b/>
      <sz val="14"/>
      <name val="Arial"/>
      <family val="2"/>
    </font>
    <font>
      <b/>
      <sz val="10"/>
      <color theme="4"/>
      <name val="Arial"/>
      <family val="2"/>
    </font>
    <font>
      <sz val="10"/>
      <color theme="4"/>
      <name val="Arial"/>
      <family val="2"/>
    </font>
    <font>
      <b/>
      <sz val="10"/>
      <color rgb="FF000000"/>
      <name val="Arial"/>
      <family val="2"/>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indexed="41"/>
        <bgColor indexed="64"/>
      </patternFill>
    </fill>
    <fill>
      <patternFill patternType="solid">
        <fgColor theme="4" tint="0.39997558519241921"/>
        <bgColor indexed="65"/>
      </patternFill>
    </fill>
    <fill>
      <patternFill patternType="solid">
        <fgColor theme="4"/>
      </patternFill>
    </fill>
    <fill>
      <patternFill patternType="solid">
        <fgColor rgb="FF92D050"/>
        <bgColor indexed="64"/>
      </patternFill>
    </fill>
    <fill>
      <patternFill patternType="solid">
        <fgColor theme="0" tint="-0.249977111117893"/>
        <bgColor indexed="64"/>
      </patternFill>
    </fill>
    <fill>
      <patternFill patternType="solid">
        <fgColor theme="6"/>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theme="4" tint="0.39997558519241921"/>
      </bottom>
      <diagonal/>
    </border>
  </borders>
  <cellStyleXfs count="8">
    <xf numFmtId="0" fontId="0" fillId="0" borderId="0"/>
    <xf numFmtId="0" fontId="16" fillId="5" borderId="0" applyNumberFormat="0" applyBorder="0" applyAlignment="0" applyProtection="0"/>
    <xf numFmtId="0" fontId="16" fillId="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553">
    <xf numFmtId="0" fontId="0" fillId="0" borderId="0" xfId="0"/>
    <xf numFmtId="0" fontId="2" fillId="2" borderId="1" xfId="0" quotePrefix="1" applyFont="1" applyFill="1" applyBorder="1" applyAlignment="1">
      <alignment horizontal="center" wrapText="1"/>
    </xf>
    <xf numFmtId="0" fontId="0" fillId="3" borderId="9" xfId="0" applyFill="1" applyBorder="1" applyAlignment="1">
      <alignment horizontal="right"/>
    </xf>
    <xf numFmtId="0" fontId="0" fillId="3" borderId="1" xfId="0" applyFill="1" applyBorder="1" applyAlignment="1">
      <alignment horizontal="right"/>
    </xf>
    <xf numFmtId="0" fontId="0" fillId="0" borderId="0" xfId="0" applyProtection="1">
      <protection hidden="1"/>
    </xf>
    <xf numFmtId="0" fontId="5" fillId="2" borderId="9" xfId="0" quotePrefix="1" applyFont="1" applyFill="1" applyBorder="1" applyAlignment="1" applyProtection="1">
      <alignment horizontal="center"/>
      <protection hidden="1"/>
    </xf>
    <xf numFmtId="0" fontId="6" fillId="0" borderId="0" xfId="0" applyFont="1" applyProtection="1">
      <protection hidden="1"/>
    </xf>
    <xf numFmtId="0" fontId="7" fillId="0" borderId="5" xfId="0" applyFont="1" applyBorder="1" applyAlignment="1" applyProtection="1">
      <alignment horizontal="left"/>
      <protection hidden="1"/>
    </xf>
    <xf numFmtId="0" fontId="2" fillId="0" borderId="0" xfId="0" applyFont="1" applyProtection="1">
      <protection hidden="1"/>
    </xf>
    <xf numFmtId="0" fontId="2" fillId="2" borderId="1" xfId="0" quotePrefix="1" applyFont="1" applyFill="1" applyBorder="1" applyAlignment="1" applyProtection="1">
      <alignment horizontal="left"/>
      <protection hidden="1"/>
    </xf>
    <xf numFmtId="0" fontId="2" fillId="2" borderId="10" xfId="0" applyFont="1" applyFill="1" applyBorder="1" applyAlignment="1" applyProtection="1">
      <alignment horizontal="left"/>
      <protection hidden="1"/>
    </xf>
    <xf numFmtId="0" fontId="2" fillId="2" borderId="1" xfId="0" quotePrefix="1" applyFont="1" applyFill="1" applyBorder="1" applyAlignment="1" applyProtection="1">
      <alignment horizontal="center" vertical="top" wrapText="1"/>
      <protection hidden="1"/>
    </xf>
    <xf numFmtId="0" fontId="2" fillId="2" borderId="1" xfId="0" applyFont="1" applyFill="1" applyBorder="1" applyAlignment="1" applyProtection="1">
      <alignment horizontal="center" vertical="top"/>
      <protection hidden="1"/>
    </xf>
    <xf numFmtId="0" fontId="2" fillId="2" borderId="1" xfId="0" applyFont="1" applyFill="1" applyBorder="1" applyAlignment="1" applyProtection="1">
      <alignment horizontal="center" vertical="top" wrapText="1"/>
      <protection hidden="1"/>
    </xf>
    <xf numFmtId="0" fontId="0" fillId="0" borderId="0" xfId="0" applyAlignment="1" applyProtection="1">
      <alignment vertical="top"/>
      <protection hidden="1"/>
    </xf>
    <xf numFmtId="0" fontId="2" fillId="2" borderId="1" xfId="0" quotePrefix="1" applyFont="1" applyFill="1" applyBorder="1" applyAlignment="1" applyProtection="1">
      <alignment horizontal="left" wrapText="1"/>
      <protection hidden="1"/>
    </xf>
    <xf numFmtId="165" fontId="0" fillId="3" borderId="1" xfId="4" applyNumberFormat="1" applyFont="1" applyFill="1" applyBorder="1" applyProtection="1">
      <protection hidden="1"/>
    </xf>
    <xf numFmtId="0" fontId="2" fillId="2" borderId="1" xfId="0" applyFont="1" applyFill="1" applyBorder="1" applyAlignment="1" applyProtection="1">
      <alignment horizontal="left" wrapText="1"/>
      <protection hidden="1"/>
    </xf>
    <xf numFmtId="165" fontId="2" fillId="3" borderId="1" xfId="4" applyNumberFormat="1" applyFont="1" applyFill="1" applyBorder="1" applyProtection="1">
      <protection hidden="1"/>
    </xf>
    <xf numFmtId="10" fontId="0" fillId="3" borderId="1" xfId="7" applyNumberFormat="1" applyFont="1" applyFill="1" applyBorder="1" applyProtection="1">
      <protection hidden="1"/>
    </xf>
    <xf numFmtId="0" fontId="0" fillId="3" borderId="1" xfId="0" applyFill="1" applyBorder="1" applyAlignment="1" applyProtection="1">
      <alignment horizontal="center"/>
      <protection hidden="1"/>
    </xf>
    <xf numFmtId="10" fontId="0" fillId="3" borderId="1" xfId="7" applyNumberFormat="1" applyFont="1" applyFill="1" applyBorder="1" applyAlignment="1" applyProtection="1">
      <alignment horizontal="center"/>
      <protection hidden="1"/>
    </xf>
    <xf numFmtId="0" fontId="0" fillId="3" borderId="1" xfId="0" quotePrefix="1" applyFill="1" applyBorder="1" applyAlignment="1" applyProtection="1">
      <alignment horizontal="center"/>
      <protection hidden="1"/>
    </xf>
    <xf numFmtId="0" fontId="7" fillId="0" borderId="5" xfId="0" applyFont="1" applyBorder="1" applyProtection="1">
      <protection hidden="1"/>
    </xf>
    <xf numFmtId="44" fontId="0" fillId="0" borderId="0" xfId="4" applyFont="1" applyAlignment="1">
      <alignment horizontal="center"/>
    </xf>
    <xf numFmtId="0" fontId="1" fillId="0" borderId="0" xfId="6" applyAlignment="1">
      <alignment horizontal="center"/>
    </xf>
    <xf numFmtId="6" fontId="19" fillId="0" borderId="0" xfId="6" applyNumberFormat="1" applyFont="1" applyAlignment="1">
      <alignment horizontal="center"/>
    </xf>
    <xf numFmtId="0" fontId="2" fillId="0" borderId="0" xfId="6" applyFont="1" applyAlignment="1">
      <alignment horizontal="center"/>
    </xf>
    <xf numFmtId="0" fontId="2" fillId="0" borderId="0" xfId="6" applyFont="1" applyAlignment="1">
      <alignment horizontal="left"/>
    </xf>
    <xf numFmtId="44" fontId="1" fillId="7" borderId="12" xfId="4" quotePrefix="1" applyFont="1" applyFill="1" applyBorder="1" applyAlignment="1">
      <alignment horizontal="left"/>
    </xf>
    <xf numFmtId="0" fontId="1" fillId="0" borderId="0" xfId="0" applyFont="1" applyProtection="1">
      <protection hidden="1"/>
    </xf>
    <xf numFmtId="165" fontId="0" fillId="0" borderId="0" xfId="0" applyNumberFormat="1" applyProtection="1">
      <protection hidden="1"/>
    </xf>
    <xf numFmtId="170" fontId="1" fillId="0" borderId="1" xfId="4" applyNumberFormat="1" applyFont="1" applyFill="1" applyBorder="1" applyProtection="1">
      <protection locked="0"/>
    </xf>
    <xf numFmtId="44" fontId="1" fillId="0" borderId="0" xfId="4" applyFill="1" applyBorder="1" applyAlignment="1">
      <alignment horizontal="right"/>
    </xf>
    <xf numFmtId="44" fontId="0" fillId="0" borderId="0" xfId="0" applyNumberFormat="1" applyProtection="1">
      <protection hidden="1"/>
    </xf>
    <xf numFmtId="42" fontId="1" fillId="0" borderId="0" xfId="6" applyNumberFormat="1" applyAlignment="1">
      <alignment horizontal="right"/>
    </xf>
    <xf numFmtId="0" fontId="1" fillId="0" borderId="0" xfId="0" quotePrefix="1" applyFont="1"/>
    <xf numFmtId="164" fontId="1" fillId="8" borderId="1" xfId="4" applyNumberFormat="1" applyFont="1" applyFill="1" applyBorder="1" applyProtection="1"/>
    <xf numFmtId="42" fontId="0" fillId="0" borderId="0" xfId="0" applyNumberFormat="1"/>
    <xf numFmtId="0" fontId="2" fillId="9" borderId="1" xfId="0" quotePrefix="1" applyFont="1" applyFill="1" applyBorder="1" applyAlignment="1" applyProtection="1">
      <alignment horizontal="left" vertical="top" wrapText="1"/>
      <protection hidden="1"/>
    </xf>
    <xf numFmtId="0" fontId="2" fillId="9" borderId="1" xfId="0" quotePrefix="1" applyFont="1" applyFill="1" applyBorder="1" applyAlignment="1" applyProtection="1">
      <alignment horizontal="center" vertical="top" wrapText="1"/>
      <protection hidden="1"/>
    </xf>
    <xf numFmtId="0" fontId="1" fillId="2" borderId="11" xfId="0" applyFont="1" applyFill="1" applyBorder="1"/>
    <xf numFmtId="0" fontId="2" fillId="0" borderId="5" xfId="0" applyFont="1" applyBorder="1" applyAlignment="1" applyProtection="1">
      <alignment horizontal="center"/>
      <protection hidden="1"/>
    </xf>
    <xf numFmtId="0" fontId="2" fillId="10" borderId="1" xfId="0" applyFont="1" applyFill="1" applyBorder="1" applyAlignment="1" applyProtection="1">
      <alignment horizontal="left" wrapText="1"/>
      <protection hidden="1"/>
    </xf>
    <xf numFmtId="0" fontId="1" fillId="9" borderId="1" xfId="0" applyFont="1" applyFill="1" applyBorder="1" applyAlignment="1" applyProtection="1">
      <alignment horizontal="left"/>
      <protection hidden="1"/>
    </xf>
    <xf numFmtId="165" fontId="2" fillId="4" borderId="9" xfId="4" applyNumberFormat="1" applyFont="1" applyFill="1" applyBorder="1" applyAlignment="1" applyProtection="1">
      <alignment horizontal="right"/>
      <protection hidden="1"/>
    </xf>
    <xf numFmtId="0" fontId="2" fillId="9" borderId="11" xfId="0" applyFont="1" applyFill="1" applyBorder="1" applyAlignment="1" applyProtection="1">
      <alignment horizontal="left"/>
      <protection hidden="1"/>
    </xf>
    <xf numFmtId="170" fontId="1" fillId="0" borderId="1" xfId="4" applyNumberFormat="1" applyFont="1" applyFill="1" applyBorder="1" applyProtection="1"/>
    <xf numFmtId="1" fontId="2" fillId="0" borderId="0" xfId="0" applyNumberFormat="1" applyFont="1"/>
    <xf numFmtId="0" fontId="0" fillId="0" borderId="3" xfId="0" applyBorder="1" applyProtection="1">
      <protection hidden="1"/>
    </xf>
    <xf numFmtId="0" fontId="5" fillId="9" borderId="9" xfId="0" quotePrefix="1" applyFont="1" applyFill="1" applyBorder="1" applyAlignment="1" applyProtection="1">
      <alignment horizontal="center"/>
      <protection hidden="1"/>
    </xf>
    <xf numFmtId="0" fontId="1" fillId="9" borderId="1" xfId="0" applyFont="1" applyFill="1" applyBorder="1" applyProtection="1">
      <protection hidden="1"/>
    </xf>
    <xf numFmtId="0" fontId="6" fillId="0" borderId="5" xfId="0" applyFont="1" applyBorder="1" applyProtection="1">
      <protection hidden="1"/>
    </xf>
    <xf numFmtId="0" fontId="0" fillId="0" borderId="0" xfId="0" applyAlignment="1" applyProtection="1">
      <alignment wrapText="1"/>
      <protection hidden="1"/>
    </xf>
    <xf numFmtId="0" fontId="1" fillId="9" borderId="10" xfId="0" applyFont="1" applyFill="1" applyBorder="1" applyProtection="1">
      <protection hidden="1"/>
    </xf>
    <xf numFmtId="0" fontId="0" fillId="0" borderId="0" xfId="0" applyAlignment="1">
      <alignment wrapText="1"/>
    </xf>
    <xf numFmtId="0" fontId="0" fillId="0" borderId="0" xfId="0" applyAlignment="1">
      <alignment vertical="center"/>
    </xf>
    <xf numFmtId="0" fontId="18" fillId="0" borderId="0" xfId="5" applyAlignment="1" applyProtection="1"/>
    <xf numFmtId="0" fontId="2" fillId="0" borderId="0" xfId="0" applyFont="1"/>
    <xf numFmtId="0" fontId="1" fillId="11" borderId="0" xfId="6" applyFill="1" applyAlignment="1">
      <alignment horizontal="center"/>
    </xf>
    <xf numFmtId="0" fontId="1" fillId="11" borderId="0" xfId="6" applyFill="1" applyAlignment="1">
      <alignment horizontal="center" wrapText="1"/>
    </xf>
    <xf numFmtId="0" fontId="2" fillId="11" borderId="0" xfId="6" applyFont="1" applyFill="1" applyAlignment="1">
      <alignment horizontal="center"/>
    </xf>
    <xf numFmtId="44" fontId="2" fillId="11" borderId="0" xfId="4" applyFont="1" applyFill="1" applyAlignment="1">
      <alignment horizontal="center"/>
    </xf>
    <xf numFmtId="44" fontId="1" fillId="11" borderId="0" xfId="4" applyFont="1" applyFill="1" applyAlignment="1">
      <alignment horizontal="center" wrapText="1"/>
    </xf>
    <xf numFmtId="44" fontId="1" fillId="11" borderId="0" xfId="4" applyFill="1" applyAlignment="1">
      <alignment horizontal="center"/>
    </xf>
    <xf numFmtId="0" fontId="0" fillId="11" borderId="0" xfId="0" applyFill="1"/>
    <xf numFmtId="44" fontId="0" fillId="0" borderId="1" xfId="4" applyFont="1" applyBorder="1" applyAlignment="1">
      <alignment vertical="center"/>
    </xf>
    <xf numFmtId="0" fontId="1" fillId="11" borderId="1" xfId="6" applyFill="1" applyBorder="1" applyAlignment="1">
      <alignment horizontal="center" vertical="center"/>
    </xf>
    <xf numFmtId="0" fontId="1" fillId="11" borderId="1" xfId="6" applyFill="1" applyBorder="1" applyAlignment="1">
      <alignment horizontal="center" vertical="center" wrapText="1"/>
    </xf>
    <xf numFmtId="0" fontId="1" fillId="11" borderId="9" xfId="6" applyFill="1" applyBorder="1" applyAlignment="1">
      <alignment horizontal="center" vertical="center"/>
    </xf>
    <xf numFmtId="0" fontId="2" fillId="11" borderId="15" xfId="0" applyFont="1" applyFill="1" applyBorder="1" applyAlignment="1">
      <alignment horizontal="center" vertical="center" wrapText="1"/>
    </xf>
    <xf numFmtId="0" fontId="2" fillId="0" borderId="0" xfId="0" quotePrefix="1" applyFont="1" applyAlignment="1" applyProtection="1">
      <alignment horizontal="center"/>
      <protection hidden="1"/>
    </xf>
    <xf numFmtId="0" fontId="2" fillId="9" borderId="11" xfId="0" quotePrefix="1" applyFont="1" applyFill="1" applyBorder="1" applyAlignment="1" applyProtection="1">
      <alignment horizontal="left"/>
      <protection hidden="1"/>
    </xf>
    <xf numFmtId="0" fontId="2" fillId="9" borderId="11" xfId="0" quotePrefix="1"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2" fillId="2" borderId="10" xfId="0" quotePrefix="1" applyFont="1" applyFill="1" applyBorder="1" applyAlignment="1" applyProtection="1">
      <alignment horizontal="left"/>
      <protection hidden="1"/>
    </xf>
    <xf numFmtId="0" fontId="1" fillId="0" borderId="0" xfId="0" quotePrefix="1" applyFont="1" applyAlignment="1" applyProtection="1">
      <alignment horizontal="center" vertical="center" wrapText="1"/>
      <protection hidden="1"/>
    </xf>
    <xf numFmtId="0" fontId="2" fillId="0" borderId="0" xfId="0" quotePrefix="1" applyFont="1" applyAlignment="1" applyProtection="1">
      <alignment horizontal="left"/>
      <protection hidden="1"/>
    </xf>
    <xf numFmtId="0" fontId="2" fillId="9" borderId="1" xfId="0" applyFont="1" applyFill="1" applyBorder="1" applyAlignment="1" applyProtection="1">
      <alignment horizontal="center" vertical="top" wrapText="1"/>
      <protection hidden="1"/>
    </xf>
    <xf numFmtId="0" fontId="2" fillId="9" borderId="2" xfId="0" applyFont="1" applyFill="1" applyBorder="1" applyProtection="1">
      <protection hidden="1"/>
    </xf>
    <xf numFmtId="0" fontId="2" fillId="9" borderId="3" xfId="0" applyFont="1" applyFill="1" applyBorder="1" applyProtection="1">
      <protection hidden="1"/>
    </xf>
    <xf numFmtId="0" fontId="1" fillId="9" borderId="11" xfId="0" quotePrefix="1" applyFont="1" applyFill="1" applyBorder="1" applyAlignment="1" applyProtection="1">
      <alignment wrapText="1"/>
      <protection hidden="1"/>
    </xf>
    <xf numFmtId="0" fontId="2" fillId="9" borderId="13" xfId="0" applyFont="1" applyFill="1" applyBorder="1" applyProtection="1">
      <protection hidden="1"/>
    </xf>
    <xf numFmtId="0" fontId="2" fillId="9" borderId="9" xfId="0" applyFont="1" applyFill="1" applyBorder="1" applyProtection="1">
      <protection hidden="1"/>
    </xf>
    <xf numFmtId="0" fontId="2" fillId="9" borderId="11" xfId="0" applyFont="1" applyFill="1" applyBorder="1" applyProtection="1">
      <protection hidden="1"/>
    </xf>
    <xf numFmtId="0" fontId="2" fillId="9" borderId="2" xfId="0" quotePrefix="1" applyFont="1" applyFill="1" applyBorder="1" applyProtection="1">
      <protection hidden="1"/>
    </xf>
    <xf numFmtId="0" fontId="2" fillId="9" borderId="3" xfId="0" quotePrefix="1" applyFont="1" applyFill="1" applyBorder="1" applyProtection="1">
      <protection hidden="1"/>
    </xf>
    <xf numFmtId="0" fontId="2" fillId="9" borderId="4" xfId="0" quotePrefix="1" applyFont="1" applyFill="1" applyBorder="1" applyProtection="1">
      <protection hidden="1"/>
    </xf>
    <xf numFmtId="0" fontId="2" fillId="9" borderId="8" xfId="0" applyFont="1" applyFill="1" applyBorder="1" applyAlignment="1" applyProtection="1">
      <alignment horizontal="center"/>
      <protection hidden="1"/>
    </xf>
    <xf numFmtId="3" fontId="2" fillId="12" borderId="1" xfId="0" quotePrefix="1" applyNumberFormat="1" applyFont="1" applyFill="1" applyBorder="1" applyAlignment="1" applyProtection="1">
      <alignment horizontal="left" vertical="center"/>
      <protection hidden="1"/>
    </xf>
    <xf numFmtId="0" fontId="0" fillId="9" borderId="0" xfId="0" applyFill="1"/>
    <xf numFmtId="0" fontId="2" fillId="8" borderId="11" xfId="0" applyFont="1" applyFill="1" applyBorder="1" applyProtection="1">
      <protection hidden="1"/>
    </xf>
    <xf numFmtId="0" fontId="2" fillId="8" borderId="13" xfId="0" applyFont="1" applyFill="1" applyBorder="1" applyProtection="1">
      <protection hidden="1"/>
    </xf>
    <xf numFmtId="0" fontId="2" fillId="8" borderId="11" xfId="0" applyFont="1" applyFill="1" applyBorder="1" applyAlignment="1" applyProtection="1">
      <alignment horizontal="left"/>
      <protection hidden="1"/>
    </xf>
    <xf numFmtId="0" fontId="2" fillId="8" borderId="13"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9" xfId="0" applyFont="1" applyFill="1" applyBorder="1" applyProtection="1">
      <protection hidden="1"/>
    </xf>
    <xf numFmtId="0" fontId="2" fillId="8" borderId="2" xfId="0" quotePrefix="1" applyFont="1" applyFill="1" applyBorder="1" applyProtection="1">
      <protection hidden="1"/>
    </xf>
    <xf numFmtId="0" fontId="2" fillId="8" borderId="3" xfId="0" quotePrefix="1" applyFont="1" applyFill="1" applyBorder="1" applyProtection="1">
      <protection hidden="1"/>
    </xf>
    <xf numFmtId="0" fontId="2" fillId="8" borderId="4" xfId="0" quotePrefix="1" applyFont="1" applyFill="1" applyBorder="1" applyProtection="1">
      <protection hidden="1"/>
    </xf>
    <xf numFmtId="0" fontId="2" fillId="8" borderId="2" xfId="0" applyFont="1" applyFill="1" applyBorder="1" applyProtection="1">
      <protection hidden="1"/>
    </xf>
    <xf numFmtId="0" fontId="2" fillId="8" borderId="3" xfId="0" applyFont="1" applyFill="1" applyBorder="1" applyProtection="1">
      <protection hidden="1"/>
    </xf>
    <xf numFmtId="0" fontId="2" fillId="8" borderId="4" xfId="0" applyFont="1" applyFill="1" applyBorder="1" applyAlignment="1" applyProtection="1">
      <alignment horizontal="center"/>
      <protection hidden="1"/>
    </xf>
    <xf numFmtId="1" fontId="2" fillId="8" borderId="3" xfId="0" applyNumberFormat="1" applyFont="1" applyFill="1" applyBorder="1"/>
    <xf numFmtId="1" fontId="2" fillId="8" borderId="4" xfId="0" applyNumberFormat="1" applyFont="1" applyFill="1" applyBorder="1"/>
    <xf numFmtId="0" fontId="0" fillId="8" borderId="5" xfId="0" applyFill="1" applyBorder="1" applyProtection="1">
      <protection hidden="1"/>
    </xf>
    <xf numFmtId="0" fontId="0" fillId="8" borderId="8" xfId="0" applyFill="1" applyBorder="1" applyProtection="1">
      <protection hidden="1"/>
    </xf>
    <xf numFmtId="0" fontId="2" fillId="8" borderId="1" xfId="0" quotePrefix="1" applyFont="1" applyFill="1" applyBorder="1" applyAlignment="1" applyProtection="1">
      <alignment horizontal="left" vertical="top" wrapText="1"/>
      <protection hidden="1"/>
    </xf>
    <xf numFmtId="0" fontId="1" fillId="8" borderId="11" xfId="0" quotePrefix="1" applyFont="1" applyFill="1" applyBorder="1" applyAlignment="1" applyProtection="1">
      <alignment wrapText="1"/>
      <protection hidden="1"/>
    </xf>
    <xf numFmtId="0" fontId="2" fillId="8" borderId="1" xfId="0" applyFont="1" applyFill="1" applyBorder="1" applyAlignment="1" applyProtection="1">
      <alignment horizontal="left" vertical="top" wrapText="1"/>
      <protection hidden="1"/>
    </xf>
    <xf numFmtId="0" fontId="2" fillId="8" borderId="1" xfId="0" quotePrefix="1" applyFont="1" applyFill="1" applyBorder="1" applyAlignment="1" applyProtection="1">
      <alignment horizontal="center" vertical="top" wrapText="1"/>
      <protection hidden="1"/>
    </xf>
    <xf numFmtId="0" fontId="2" fillId="8" borderId="1" xfId="0" applyFont="1" applyFill="1" applyBorder="1" applyAlignment="1" applyProtection="1">
      <alignment horizontal="center" vertical="top" wrapText="1"/>
      <protection hidden="1"/>
    </xf>
    <xf numFmtId="0" fontId="1" fillId="8" borderId="5" xfId="0" applyFont="1" applyFill="1" applyBorder="1" applyProtection="1">
      <protection hidden="1"/>
    </xf>
    <xf numFmtId="0" fontId="0" fillId="8" borderId="0" xfId="0" applyFill="1"/>
    <xf numFmtId="0" fontId="2" fillId="8" borderId="5" xfId="0" quotePrefix="1" applyFont="1" applyFill="1" applyBorder="1" applyAlignment="1" applyProtection="1">
      <alignment horizontal="left"/>
      <protection hidden="1"/>
    </xf>
    <xf numFmtId="0" fontId="2" fillId="8" borderId="5" xfId="0" applyFont="1" applyFill="1" applyBorder="1" applyAlignment="1" applyProtection="1">
      <alignment horizontal="left"/>
      <protection hidden="1"/>
    </xf>
    <xf numFmtId="0" fontId="2" fillId="8" borderId="7" xfId="0" quotePrefix="1" applyFont="1" applyFill="1" applyBorder="1" applyAlignment="1" applyProtection="1">
      <alignment horizontal="left"/>
      <protection hidden="1"/>
    </xf>
    <xf numFmtId="0" fontId="1" fillId="12" borderId="1" xfId="0" applyFont="1" applyFill="1" applyBorder="1" applyAlignment="1" applyProtection="1">
      <alignment horizontal="left"/>
      <protection locked="0" hidden="1"/>
    </xf>
    <xf numFmtId="0" fontId="0" fillId="9" borderId="0" xfId="0" applyFill="1" applyProtection="1">
      <protection hidden="1"/>
    </xf>
    <xf numFmtId="0" fontId="0" fillId="9" borderId="6" xfId="0" applyFill="1" applyBorder="1" applyProtection="1">
      <protection hidden="1"/>
    </xf>
    <xf numFmtId="0" fontId="0" fillId="9" borderId="3" xfId="0" applyFill="1" applyBorder="1" applyProtection="1">
      <protection hidden="1"/>
    </xf>
    <xf numFmtId="0" fontId="0" fillId="9" borderId="16" xfId="0" applyFill="1" applyBorder="1" applyProtection="1">
      <protection hidden="1"/>
    </xf>
    <xf numFmtId="0" fontId="0" fillId="9" borderId="8" xfId="0" applyFill="1" applyBorder="1" applyProtection="1">
      <protection hidden="1"/>
    </xf>
    <xf numFmtId="0" fontId="0" fillId="8" borderId="16" xfId="0" applyFill="1" applyBorder="1" applyProtection="1">
      <protection hidden="1"/>
    </xf>
    <xf numFmtId="0" fontId="1" fillId="9" borderId="2" xfId="0" applyFont="1" applyFill="1" applyBorder="1" applyProtection="1">
      <protection hidden="1"/>
    </xf>
    <xf numFmtId="0" fontId="0" fillId="9" borderId="3" xfId="0" applyFill="1" applyBorder="1"/>
    <xf numFmtId="0" fontId="1" fillId="9" borderId="6" xfId="0" quotePrefix="1" applyFont="1" applyFill="1" applyBorder="1" applyAlignment="1" applyProtection="1">
      <alignment vertical="center" wrapText="1"/>
      <protection hidden="1"/>
    </xf>
    <xf numFmtId="0" fontId="2" fillId="2" borderId="1" xfId="0" applyFont="1" applyFill="1" applyBorder="1" applyAlignment="1" applyProtection="1">
      <alignment horizontal="left"/>
      <protection hidden="1"/>
    </xf>
    <xf numFmtId="0" fontId="1" fillId="9" borderId="10" xfId="0" quotePrefix="1" applyFont="1" applyFill="1" applyBorder="1" applyAlignment="1" applyProtection="1">
      <alignment horizontal="left"/>
      <protection hidden="1"/>
    </xf>
    <xf numFmtId="0" fontId="1" fillId="9" borderId="2" xfId="0" applyFont="1" applyFill="1" applyBorder="1" applyAlignment="1" applyProtection="1">
      <alignment horizontal="left"/>
      <protection hidden="1"/>
    </xf>
    <xf numFmtId="0" fontId="1" fillId="9" borderId="1" xfId="0" applyFont="1" applyFill="1" applyBorder="1" applyAlignment="1" applyProtection="1">
      <alignment vertical="top"/>
      <protection hidden="1"/>
    </xf>
    <xf numFmtId="0" fontId="6" fillId="0" borderId="0" xfId="0" applyFont="1" applyAlignment="1" applyProtection="1">
      <alignment vertical="top"/>
      <protection hidden="1"/>
    </xf>
    <xf numFmtId="0" fontId="2" fillId="8" borderId="11" xfId="0" quotePrefix="1" applyFont="1" applyFill="1" applyBorder="1" applyAlignment="1" applyProtection="1">
      <alignment horizontal="left"/>
      <protection hidden="1"/>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0" fontId="2" fillId="8" borderId="11" xfId="0" quotePrefix="1"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1" xfId="0"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2" borderId="9" xfId="0" applyFont="1" applyFill="1" applyBorder="1" applyAlignment="1" applyProtection="1">
      <alignment horizontal="left"/>
      <protection hidden="1"/>
    </xf>
    <xf numFmtId="44" fontId="11" fillId="14" borderId="0" xfId="0" applyNumberFormat="1" applyFont="1" applyFill="1"/>
    <xf numFmtId="0" fontId="17" fillId="5" borderId="0" xfId="1" applyFont="1"/>
    <xf numFmtId="0" fontId="17" fillId="5" borderId="0" xfId="1" applyFont="1" applyAlignment="1">
      <alignment horizontal="center"/>
    </xf>
    <xf numFmtId="0" fontId="20" fillId="0" borderId="0" xfId="0" applyFont="1"/>
    <xf numFmtId="14" fontId="20" fillId="0" borderId="0" xfId="0" applyNumberFormat="1" applyFont="1"/>
    <xf numFmtId="0" fontId="20" fillId="0" borderId="0" xfId="0" applyFont="1" applyAlignment="1">
      <alignment wrapText="1"/>
    </xf>
    <xf numFmtId="0" fontId="21" fillId="0" borderId="0" xfId="0" applyFont="1"/>
    <xf numFmtId="165" fontId="21" fillId="0" borderId="0" xfId="4" applyNumberFormat="1" applyFont="1"/>
    <xf numFmtId="0" fontId="22" fillId="0" borderId="0" xfId="0" applyFont="1"/>
    <xf numFmtId="0" fontId="23" fillId="15" borderId="0" xfId="0" applyFont="1" applyFill="1"/>
    <xf numFmtId="0" fontId="24" fillId="14" borderId="20" xfId="6" applyFont="1" applyFill="1" applyBorder="1" applyAlignment="1">
      <alignment horizontal="center" vertical="center"/>
    </xf>
    <xf numFmtId="0" fontId="1" fillId="14" borderId="20" xfId="6" applyFill="1" applyBorder="1" applyAlignment="1">
      <alignment horizontal="right"/>
    </xf>
    <xf numFmtId="0" fontId="1" fillId="14" borderId="20" xfId="6" applyFill="1" applyBorder="1" applyAlignment="1">
      <alignment horizontal="right" wrapText="1"/>
    </xf>
    <xf numFmtId="6" fontId="19" fillId="14" borderId="20" xfId="6" applyNumberFormat="1" applyFont="1" applyFill="1" applyBorder="1" applyAlignment="1">
      <alignment horizontal="center"/>
    </xf>
    <xf numFmtId="0" fontId="2" fillId="2" borderId="13" xfId="0" applyFont="1" applyFill="1" applyBorder="1"/>
    <xf numFmtId="0" fontId="5" fillId="2" borderId="11" xfId="0" applyFont="1" applyFill="1" applyBorder="1"/>
    <xf numFmtId="0" fontId="4" fillId="0" borderId="0" xfId="0" applyFont="1"/>
    <xf numFmtId="0" fontId="0" fillId="0" borderId="21" xfId="0" applyBorder="1"/>
    <xf numFmtId="0" fontId="1" fillId="9" borderId="3" xfId="0" applyFont="1" applyFill="1" applyBorder="1" applyProtection="1">
      <protection hidden="1"/>
    </xf>
    <xf numFmtId="0" fontId="2" fillId="9" borderId="0" xfId="0" quotePrefix="1" applyFont="1" applyFill="1" applyAlignment="1" applyProtection="1">
      <alignment horizontal="left"/>
      <protection hidden="1"/>
    </xf>
    <xf numFmtId="165" fontId="1" fillId="3" borderId="1" xfId="4" applyNumberFormat="1" applyFont="1" applyFill="1" applyBorder="1" applyProtection="1">
      <protection hidden="1"/>
    </xf>
    <xf numFmtId="0" fontId="1" fillId="8" borderId="0" xfId="0" applyFont="1" applyFill="1" applyProtection="1">
      <protection hidden="1"/>
    </xf>
    <xf numFmtId="0" fontId="2" fillId="8" borderId="0" xfId="0" quotePrefix="1" applyFont="1" applyFill="1" applyAlignment="1" applyProtection="1">
      <alignment horizontal="left"/>
      <protection hidden="1"/>
    </xf>
    <xf numFmtId="0" fontId="2" fillId="8" borderId="0" xfId="0" applyFont="1" applyFill="1" applyAlignment="1" applyProtection="1">
      <alignment horizontal="left"/>
      <protection hidden="1"/>
    </xf>
    <xf numFmtId="0" fontId="2" fillId="8" borderId="16" xfId="0" quotePrefix="1" applyFont="1" applyFill="1" applyBorder="1" applyAlignment="1" applyProtection="1">
      <alignment horizontal="left"/>
      <protection hidden="1"/>
    </xf>
    <xf numFmtId="6" fontId="19" fillId="14" borderId="0" xfId="6" applyNumberFormat="1" applyFont="1" applyFill="1" applyAlignment="1">
      <alignment horizontal="center"/>
    </xf>
    <xf numFmtId="165" fontId="21" fillId="0" borderId="22" xfId="4" applyNumberFormat="1" applyFont="1" applyBorder="1"/>
    <xf numFmtId="173" fontId="25" fillId="12" borderId="23" xfId="0" applyNumberFormat="1" applyFont="1" applyFill="1" applyBorder="1" applyAlignment="1">
      <alignment horizontal="center" vertical="center" wrapText="1"/>
    </xf>
    <xf numFmtId="2" fontId="20" fillId="0" borderId="0" xfId="0" applyNumberFormat="1" applyFont="1" applyAlignment="1">
      <alignment horizontal="center"/>
    </xf>
    <xf numFmtId="0" fontId="26" fillId="0" borderId="0" xfId="0" applyFont="1" applyAlignment="1">
      <alignment wrapText="1"/>
    </xf>
    <xf numFmtId="0" fontId="15" fillId="2" borderId="1" xfId="0" applyFont="1" applyFill="1" applyBorder="1" applyAlignment="1" applyProtection="1">
      <alignment horizontal="center" vertical="top"/>
      <protection hidden="1"/>
    </xf>
    <xf numFmtId="0" fontId="1" fillId="2" borderId="1" xfId="0" quotePrefix="1" applyFont="1" applyFill="1" applyBorder="1" applyAlignment="1">
      <alignment horizontal="center" wrapText="1"/>
    </xf>
    <xf numFmtId="172" fontId="22" fillId="15" borderId="24" xfId="0" applyNumberFormat="1" applyFont="1" applyFill="1" applyBorder="1" applyAlignment="1">
      <alignment horizontal="left"/>
    </xf>
    <xf numFmtId="0" fontId="1" fillId="9" borderId="14" xfId="0" quotePrefix="1" applyFont="1" applyFill="1" applyBorder="1" applyAlignment="1" applyProtection="1">
      <alignment horizontal="center" vertical="center" wrapText="1"/>
      <protection hidden="1"/>
    </xf>
    <xf numFmtId="0" fontId="1" fillId="9" borderId="15" xfId="0" quotePrefix="1" applyFont="1" applyFill="1" applyBorder="1" applyAlignment="1" applyProtection="1">
      <alignment horizontal="center" vertical="center" wrapText="1"/>
      <protection hidden="1"/>
    </xf>
    <xf numFmtId="0" fontId="1" fillId="2" borderId="9" xfId="0" quotePrefix="1" applyFont="1" applyFill="1" applyBorder="1" applyAlignment="1" applyProtection="1">
      <alignment horizontal="center"/>
      <protection hidden="1"/>
    </xf>
    <xf numFmtId="0" fontId="11" fillId="9" borderId="14" xfId="0" quotePrefix="1" applyFont="1" applyFill="1" applyBorder="1" applyAlignment="1" applyProtection="1">
      <alignment horizontal="center" vertical="center" wrapText="1"/>
      <protection hidden="1"/>
    </xf>
    <xf numFmtId="0" fontId="1" fillId="8" borderId="14" xfId="0" quotePrefix="1" applyFont="1" applyFill="1" applyBorder="1" applyAlignment="1" applyProtection="1">
      <alignment vertical="center" wrapText="1"/>
      <protection hidden="1"/>
    </xf>
    <xf numFmtId="0" fontId="1" fillId="8" borderId="15" xfId="0" quotePrefix="1" applyFont="1" applyFill="1" applyBorder="1" applyAlignment="1" applyProtection="1">
      <alignment vertical="center" wrapText="1"/>
      <protection hidden="1"/>
    </xf>
    <xf numFmtId="0" fontId="11" fillId="8" borderId="14" xfId="0" quotePrefix="1" applyFont="1" applyFill="1" applyBorder="1" applyAlignment="1" applyProtection="1">
      <alignment horizontal="center" vertical="center" wrapText="1"/>
      <protection hidden="1"/>
    </xf>
    <xf numFmtId="0" fontId="2" fillId="2" borderId="11" xfId="0" applyFont="1" applyFill="1" applyBorder="1"/>
    <xf numFmtId="1" fontId="2" fillId="0" borderId="11" xfId="0" applyNumberFormat="1" applyFont="1" applyBorder="1" applyAlignment="1" applyProtection="1">
      <alignment horizontal="right"/>
      <protection locked="0"/>
    </xf>
    <xf numFmtId="1" fontId="2" fillId="0" borderId="9" xfId="0" applyNumberFormat="1" applyFont="1" applyBorder="1" applyAlignment="1" applyProtection="1">
      <alignment horizontal="center"/>
      <protection locked="0"/>
    </xf>
    <xf numFmtId="164" fontId="2" fillId="0" borderId="11" xfId="4" applyNumberFormat="1" applyFont="1" applyFill="1" applyBorder="1" applyAlignment="1" applyProtection="1">
      <protection locked="0"/>
    </xf>
    <xf numFmtId="164" fontId="2" fillId="8" borderId="11" xfId="4" applyNumberFormat="1" applyFont="1" applyFill="1" applyBorder="1" applyAlignment="1" applyProtection="1">
      <protection hidden="1"/>
    </xf>
    <xf numFmtId="10" fontId="2" fillId="0" borderId="11" xfId="7" applyNumberFormat="1" applyFont="1" applyFill="1" applyBorder="1" applyAlignment="1" applyProtection="1">
      <protection locked="0"/>
    </xf>
    <xf numFmtId="166" fontId="2" fillId="0" borderId="11" xfId="3" applyNumberFormat="1" applyFont="1" applyFill="1" applyBorder="1" applyAlignment="1" applyProtection="1">
      <protection locked="0"/>
    </xf>
    <xf numFmtId="164" fontId="2" fillId="8" borderId="1" xfId="4" applyNumberFormat="1" applyFont="1" applyFill="1" applyBorder="1" applyAlignment="1" applyProtection="1">
      <protection hidden="1"/>
    </xf>
    <xf numFmtId="10" fontId="2" fillId="0" borderId="11" xfId="7" applyNumberFormat="1" applyFont="1" applyFill="1" applyBorder="1" applyAlignment="1" applyProtection="1">
      <alignment horizontal="center"/>
      <protection locked="0"/>
    </xf>
    <xf numFmtId="10" fontId="0" fillId="0" borderId="0" xfId="7" applyNumberFormat="1" applyFont="1" applyProtection="1">
      <protection hidden="1"/>
    </xf>
    <xf numFmtId="8" fontId="0" fillId="0" borderId="0" xfId="0" applyNumberFormat="1" applyProtection="1">
      <protection hidden="1"/>
    </xf>
    <xf numFmtId="8" fontId="2" fillId="16" borderId="12" xfId="0" applyNumberFormat="1" applyFont="1" applyFill="1" applyBorder="1" applyProtection="1">
      <protection hidden="1"/>
    </xf>
    <xf numFmtId="6" fontId="27" fillId="0" borderId="16" xfId="0" applyNumberFormat="1" applyFont="1" applyBorder="1" applyAlignment="1">
      <alignment horizontal="center"/>
    </xf>
    <xf numFmtId="173" fontId="28" fillId="12" borderId="13" xfId="0" applyNumberFormat="1" applyFont="1" applyFill="1" applyBorder="1" applyAlignment="1">
      <alignment horizontal="left"/>
    </xf>
    <xf numFmtId="1" fontId="2" fillId="0" borderId="1" xfId="0" applyNumberFormat="1" applyFont="1" applyBorder="1" applyAlignment="1" applyProtection="1">
      <alignment horizontal="center"/>
      <protection locked="0"/>
    </xf>
    <xf numFmtId="164" fontId="2" fillId="0" borderId="1" xfId="4" applyNumberFormat="1" applyFont="1" applyFill="1" applyBorder="1" applyAlignment="1" applyProtection="1">
      <protection locked="0"/>
    </xf>
    <xf numFmtId="10" fontId="2" fillId="0" borderId="1" xfId="7" applyNumberFormat="1" applyFont="1" applyFill="1" applyBorder="1" applyAlignment="1" applyProtection="1">
      <protection locked="0"/>
    </xf>
    <xf numFmtId="10" fontId="2" fillId="0" borderId="1" xfId="7" applyNumberFormat="1" applyFont="1" applyFill="1" applyBorder="1" applyAlignment="1" applyProtection="1">
      <alignment horizontal="center"/>
      <protection locked="0"/>
    </xf>
    <xf numFmtId="166" fontId="2" fillId="0" borderId="1" xfId="3"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1" xfId="3" applyNumberFormat="1" applyFont="1" applyFill="1" applyBorder="1" applyAlignment="1" applyProtection="1"/>
    <xf numFmtId="0" fontId="2" fillId="0" borderId="0" xfId="0" applyFont="1" applyAlignment="1" applyProtection="1">
      <alignment horizontal="center"/>
      <protection hidden="1"/>
    </xf>
    <xf numFmtId="2" fontId="2" fillId="0" borderId="0" xfId="0" applyNumberFormat="1" applyFont="1" applyProtection="1">
      <protection hidden="1"/>
    </xf>
    <xf numFmtId="0" fontId="29" fillId="0" borderId="0" xfId="0" applyFont="1" applyAlignment="1" applyProtection="1">
      <alignment horizontal="center"/>
      <protection hidden="1"/>
    </xf>
    <xf numFmtId="0" fontId="29" fillId="0" borderId="12" xfId="0" applyFont="1" applyBorder="1" applyAlignment="1" applyProtection="1">
      <alignment horizontal="center"/>
      <protection hidden="1"/>
    </xf>
    <xf numFmtId="0" fontId="1" fillId="0" borderId="9" xfId="0" applyFont="1" applyBorder="1" applyAlignment="1" applyProtection="1">
      <alignment horizontal="right" indent="1"/>
      <protection locked="0"/>
    </xf>
    <xf numFmtId="0" fontId="2" fillId="0" borderId="1" xfId="0" quotePrefix="1" applyFont="1" applyBorder="1" applyAlignment="1" applyProtection="1">
      <alignment vertical="center"/>
      <protection locked="0" hidden="1"/>
    </xf>
    <xf numFmtId="0" fontId="1" fillId="0" borderId="0" xfId="0" applyFont="1" applyAlignment="1" applyProtection="1">
      <alignment horizontal="left"/>
      <protection hidden="1"/>
    </xf>
    <xf numFmtId="8" fontId="2" fillId="0" borderId="0" xfId="0" applyNumberFormat="1" applyFont="1" applyProtection="1">
      <protection hidden="1"/>
    </xf>
    <xf numFmtId="165" fontId="30" fillId="0" borderId="0" xfId="4" applyNumberFormat="1" applyFont="1"/>
    <xf numFmtId="170" fontId="0" fillId="0" borderId="0" xfId="0" applyNumberFormat="1" applyProtection="1">
      <protection hidden="1"/>
    </xf>
    <xf numFmtId="0" fontId="20" fillId="0" borderId="0" xfId="0" applyFont="1" applyAlignment="1">
      <alignment horizontal="center"/>
    </xf>
    <xf numFmtId="17" fontId="20" fillId="0" borderId="0" xfId="0" applyNumberFormat="1" applyFont="1"/>
    <xf numFmtId="165" fontId="31" fillId="0" borderId="0" xfId="4" applyNumberFormat="1" applyFont="1"/>
    <xf numFmtId="0" fontId="1" fillId="0" borderId="0" xfId="0" quotePrefix="1" applyFont="1" applyAlignment="1" applyProtection="1">
      <alignment horizontal="left"/>
      <protection hidden="1"/>
    </xf>
    <xf numFmtId="0" fontId="1" fillId="9" borderId="13" xfId="0" quotePrefix="1" applyFont="1" applyFill="1" applyBorder="1" applyProtection="1">
      <protection hidden="1"/>
    </xf>
    <xf numFmtId="0" fontId="1" fillId="9" borderId="11" xfId="0" quotePrefix="1" applyFont="1" applyFill="1" applyBorder="1" applyAlignment="1" applyProtection="1">
      <alignment horizontal="left"/>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9" borderId="1" xfId="0" quotePrefix="1" applyFont="1" applyFill="1" applyBorder="1" applyAlignment="1" applyProtection="1">
      <alignment horizontal="left"/>
      <protection hidden="1"/>
    </xf>
    <xf numFmtId="0" fontId="1" fillId="9" borderId="15" xfId="0" quotePrefix="1" applyFont="1" applyFill="1" applyBorder="1" applyAlignment="1" applyProtection="1">
      <alignment horizontal="left"/>
      <protection hidden="1"/>
    </xf>
    <xf numFmtId="0" fontId="1" fillId="9" borderId="14" xfId="0" quotePrefix="1" applyFont="1" applyFill="1" applyBorder="1" applyAlignment="1" applyProtection="1">
      <alignment horizontal="left"/>
      <protection hidden="1"/>
    </xf>
    <xf numFmtId="0" fontId="1" fillId="0" borderId="5" xfId="0" applyFont="1" applyBorder="1" applyProtection="1">
      <protection hidden="1"/>
    </xf>
    <xf numFmtId="168" fontId="1" fillId="9" borderId="6" xfId="0" applyNumberFormat="1" applyFont="1" applyFill="1" applyBorder="1" applyAlignment="1" applyProtection="1">
      <alignment horizontal="center"/>
      <protection hidden="1"/>
    </xf>
    <xf numFmtId="168" fontId="1" fillId="0" borderId="0" xfId="0" applyNumberFormat="1" applyFont="1" applyAlignment="1" applyProtection="1">
      <alignment horizontal="center"/>
      <protection hidden="1"/>
    </xf>
    <xf numFmtId="168" fontId="1" fillId="9" borderId="4" xfId="0" applyNumberFormat="1" applyFont="1" applyFill="1" applyBorder="1" applyAlignment="1" applyProtection="1">
      <alignment horizontal="center"/>
      <protection hidden="1"/>
    </xf>
    <xf numFmtId="170" fontId="1" fillId="8" borderId="1" xfId="4" applyNumberFormat="1" applyFont="1" applyFill="1" applyBorder="1" applyProtection="1"/>
    <xf numFmtId="170" fontId="1" fillId="8" borderId="1" xfId="4" applyNumberFormat="1" applyFont="1" applyFill="1" applyBorder="1" applyProtection="1">
      <protection hidden="1"/>
    </xf>
    <xf numFmtId="0" fontId="1" fillId="9" borderId="13" xfId="0" quotePrefix="1" applyFont="1" applyFill="1" applyBorder="1" applyAlignment="1" applyProtection="1">
      <alignment horizontal="left"/>
      <protection hidden="1"/>
    </xf>
    <xf numFmtId="0" fontId="1" fillId="9" borderId="9" xfId="0" quotePrefix="1" applyFont="1" applyFill="1" applyBorder="1" applyAlignment="1" applyProtection="1">
      <alignment horizontal="left"/>
      <protection hidden="1"/>
    </xf>
    <xf numFmtId="0" fontId="1" fillId="9" borderId="3" xfId="0" quotePrefix="1" applyFont="1" applyFill="1" applyBorder="1" applyAlignment="1" applyProtection="1">
      <alignment horizontal="left"/>
      <protection hidden="1"/>
    </xf>
    <xf numFmtId="0" fontId="1" fillId="12" borderId="1" xfId="0" quotePrefix="1" applyFont="1" applyFill="1" applyBorder="1" applyAlignment="1" applyProtection="1">
      <alignment horizontal="left"/>
      <protection locked="0" hidden="1"/>
    </xf>
    <xf numFmtId="170" fontId="1" fillId="0" borderId="1" xfId="4" applyNumberFormat="1" applyFont="1" applyFill="1" applyBorder="1" applyAlignment="1" applyProtection="1">
      <alignment vertical="center"/>
      <protection locked="0"/>
    </xf>
    <xf numFmtId="170" fontId="1" fillId="8" borderId="1" xfId="4" applyNumberFormat="1" applyFont="1" applyFill="1" applyBorder="1" applyAlignment="1" applyProtection="1">
      <alignment vertical="center"/>
      <protection hidden="1"/>
    </xf>
    <xf numFmtId="170" fontId="1" fillId="0" borderId="10" xfId="4" applyNumberFormat="1" applyFont="1" applyFill="1" applyBorder="1" applyProtection="1">
      <protection locked="0"/>
    </xf>
    <xf numFmtId="170" fontId="1" fillId="8" borderId="10" xfId="4" applyNumberFormat="1" applyFont="1" applyFill="1" applyBorder="1" applyProtection="1">
      <protection hidden="1"/>
    </xf>
    <xf numFmtId="170" fontId="1" fillId="8" borderId="10" xfId="4" applyNumberFormat="1" applyFont="1" applyFill="1" applyBorder="1" applyAlignment="1" applyProtection="1">
      <alignment horizontal="center"/>
      <protection hidden="1"/>
    </xf>
    <xf numFmtId="170" fontId="1" fillId="0" borderId="11" xfId="4" applyNumberFormat="1" applyFont="1" applyFill="1" applyBorder="1" applyProtection="1">
      <protection locked="0"/>
    </xf>
    <xf numFmtId="0" fontId="1" fillId="9" borderId="0" xfId="0" applyFont="1" applyFill="1" applyProtection="1">
      <protection hidden="1"/>
    </xf>
    <xf numFmtId="0" fontId="1" fillId="9" borderId="6" xfId="0" applyFont="1" applyFill="1" applyBorder="1" applyAlignment="1" applyProtection="1">
      <alignment horizontal="left"/>
      <protection hidden="1"/>
    </xf>
    <xf numFmtId="170" fontId="1" fillId="8" borderId="9" xfId="4" applyNumberFormat="1" applyFont="1" applyFill="1" applyBorder="1" applyProtection="1">
      <protection hidden="1"/>
    </xf>
    <xf numFmtId="170" fontId="1" fillId="8" borderId="7" xfId="4" applyNumberFormat="1" applyFont="1" applyFill="1" applyBorder="1" applyProtection="1">
      <protection hidden="1"/>
    </xf>
    <xf numFmtId="170" fontId="1" fillId="8" borderId="8" xfId="4" applyNumberFormat="1" applyFont="1" applyFill="1" applyBorder="1" applyProtection="1">
      <protection hidden="1"/>
    </xf>
    <xf numFmtId="170" fontId="1" fillId="8" borderId="11" xfId="4" applyNumberFormat="1" applyFont="1" applyFill="1" applyBorder="1" applyProtection="1">
      <protection hidden="1"/>
    </xf>
    <xf numFmtId="165" fontId="1" fillId="9" borderId="9" xfId="0" quotePrefix="1" applyNumberFormat="1" applyFont="1" applyFill="1" applyBorder="1" applyProtection="1">
      <protection hidden="1"/>
    </xf>
    <xf numFmtId="168" fontId="1" fillId="0" borderId="1" xfId="0" applyNumberFormat="1" applyFont="1" applyBorder="1" applyAlignment="1" applyProtection="1">
      <alignment horizontal="center"/>
      <protection hidden="1"/>
    </xf>
    <xf numFmtId="168" fontId="1" fillId="8" borderId="6" xfId="0" applyNumberFormat="1" applyFont="1" applyFill="1" applyBorder="1" applyAlignment="1" applyProtection="1">
      <alignment horizontal="center"/>
      <protection hidden="1"/>
    </xf>
    <xf numFmtId="0" fontId="1" fillId="0" borderId="9" xfId="0" applyFont="1" applyBorder="1" applyProtection="1">
      <protection hidden="1"/>
    </xf>
    <xf numFmtId="0" fontId="1" fillId="0" borderId="9" xfId="0" quotePrefix="1" applyFont="1" applyBorder="1" applyProtection="1">
      <protection hidden="1"/>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170" fontId="1" fillId="0" borderId="1" xfId="4" applyNumberFormat="1" applyFont="1" applyFill="1" applyBorder="1" applyProtection="1">
      <protection hidden="1"/>
    </xf>
    <xf numFmtId="0" fontId="1" fillId="8" borderId="1" xfId="0" quotePrefix="1" applyFont="1" applyFill="1" applyBorder="1" applyAlignment="1" applyProtection="1">
      <alignment horizontal="left"/>
      <protection hidden="1"/>
    </xf>
    <xf numFmtId="0" fontId="1" fillId="0" borderId="1" xfId="0" quotePrefix="1" applyFont="1" applyBorder="1" applyAlignment="1" applyProtection="1">
      <alignment horizontal="left"/>
      <protection hidden="1"/>
    </xf>
    <xf numFmtId="170" fontId="1" fillId="0" borderId="1" xfId="4" applyNumberFormat="1" applyFont="1" applyFill="1" applyBorder="1" applyAlignment="1" applyProtection="1">
      <alignment vertical="center"/>
    </xf>
    <xf numFmtId="170" fontId="1" fillId="0" borderId="1" xfId="4" applyNumberFormat="1" applyFont="1" applyFill="1" applyBorder="1" applyAlignment="1" applyProtection="1">
      <alignment vertical="center"/>
      <protection hidden="1"/>
    </xf>
    <xf numFmtId="170" fontId="1" fillId="0" borderId="10" xfId="4" applyNumberFormat="1" applyFont="1" applyFill="1" applyBorder="1" applyProtection="1"/>
    <xf numFmtId="170" fontId="1" fillId="0" borderId="10" xfId="4" applyNumberFormat="1" applyFont="1" applyFill="1" applyBorder="1" applyProtection="1">
      <protection hidden="1"/>
    </xf>
    <xf numFmtId="170" fontId="1" fillId="0" borderId="10" xfId="4" applyNumberFormat="1" applyFont="1" applyFill="1" applyBorder="1" applyAlignment="1" applyProtection="1">
      <alignment horizontal="center"/>
      <protection hidden="1"/>
    </xf>
    <xf numFmtId="170" fontId="1" fillId="0" borderId="11" xfId="4" applyNumberFormat="1" applyFont="1" applyFill="1" applyBorder="1" applyProtection="1"/>
    <xf numFmtId="0" fontId="1" fillId="8" borderId="6" xfId="0" applyFont="1" applyFill="1" applyBorder="1" applyAlignment="1" applyProtection="1">
      <alignment horizontal="left"/>
      <protection hidden="1"/>
    </xf>
    <xf numFmtId="170" fontId="1" fillId="0" borderId="9" xfId="4" applyNumberFormat="1" applyFont="1" applyFill="1" applyBorder="1" applyProtection="1">
      <protection hidden="1"/>
    </xf>
    <xf numFmtId="170" fontId="1" fillId="0" borderId="7" xfId="4" applyNumberFormat="1" applyFont="1" applyFill="1" applyBorder="1" applyProtection="1">
      <protection hidden="1"/>
    </xf>
    <xf numFmtId="170" fontId="1" fillId="0" borderId="8" xfId="4" applyNumberFormat="1" applyFont="1" applyFill="1" applyBorder="1" applyProtection="1">
      <protection hidden="1"/>
    </xf>
    <xf numFmtId="170" fontId="1" fillId="0" borderId="11" xfId="4" applyNumberFormat="1" applyFont="1" applyFill="1" applyBorder="1" applyProtection="1">
      <protection hidden="1"/>
    </xf>
    <xf numFmtId="170" fontId="1" fillId="8" borderId="6" xfId="4" applyNumberFormat="1" applyFont="1" applyFill="1" applyBorder="1" applyProtection="1">
      <protection hidden="1"/>
    </xf>
    <xf numFmtId="3" fontId="1" fillId="3" borderId="11" xfId="3" applyNumberFormat="1" applyFont="1" applyFill="1" applyBorder="1" applyProtection="1">
      <protection hidden="1"/>
    </xf>
    <xf numFmtId="174" fontId="1" fillId="3" borderId="1" xfId="3" applyNumberFormat="1" applyFont="1" applyFill="1" applyBorder="1" applyProtection="1">
      <protection hidden="1"/>
    </xf>
    <xf numFmtId="10" fontId="1" fillId="0" borderId="9" xfId="0" applyNumberFormat="1" applyFont="1" applyBorder="1" applyProtection="1">
      <protection locked="0"/>
    </xf>
    <xf numFmtId="10" fontId="1" fillId="0" borderId="0" xfId="0" applyNumberFormat="1" applyFont="1" applyProtection="1">
      <protection hidden="1"/>
    </xf>
    <xf numFmtId="3" fontId="1" fillId="3" borderId="1" xfId="3" applyNumberFormat="1" applyFont="1" applyFill="1" applyBorder="1" applyProtection="1">
      <protection hidden="1"/>
    </xf>
    <xf numFmtId="0" fontId="1" fillId="2" borderId="4" xfId="0" quotePrefix="1" applyFont="1" applyFill="1" applyBorder="1" applyAlignment="1" applyProtection="1">
      <alignment horizontal="left"/>
      <protection hidden="1"/>
    </xf>
    <xf numFmtId="0" fontId="1" fillId="2" borderId="9" xfId="0" quotePrefix="1" applyFont="1" applyFill="1" applyBorder="1" applyAlignment="1" applyProtection="1">
      <alignment horizontal="left"/>
      <protection hidden="1"/>
    </xf>
    <xf numFmtId="0" fontId="1" fillId="2" borderId="10" xfId="0" quotePrefix="1" applyFont="1" applyFill="1" applyBorder="1" applyAlignment="1" applyProtection="1">
      <alignment horizontal="left"/>
      <protection hidden="1"/>
    </xf>
    <xf numFmtId="10" fontId="1" fillId="3" borderId="10" xfId="7" applyNumberFormat="1" applyFont="1" applyFill="1" applyBorder="1" applyProtection="1">
      <protection hidden="1"/>
    </xf>
    <xf numFmtId="175" fontId="1" fillId="3" borderId="1" xfId="7" applyNumberFormat="1" applyFont="1" applyFill="1" applyBorder="1" applyProtection="1">
      <protection hidden="1"/>
    </xf>
    <xf numFmtId="10" fontId="1" fillId="3" borderId="1" xfId="7" applyNumberFormat="1" applyFont="1" applyFill="1" applyBorder="1" applyProtection="1">
      <protection hidden="1"/>
    </xf>
    <xf numFmtId="0" fontId="1" fillId="2" borderId="3" xfId="0" quotePrefix="1" applyFont="1" applyFill="1" applyBorder="1" applyAlignment="1" applyProtection="1">
      <alignment horizontal="left"/>
      <protection hidden="1"/>
    </xf>
    <xf numFmtId="3" fontId="1" fillId="3" borderId="10" xfId="3" applyNumberFormat="1" applyFont="1" applyFill="1" applyBorder="1" applyProtection="1">
      <protection hidden="1"/>
    </xf>
    <xf numFmtId="165" fontId="1" fillId="3" borderId="15" xfId="4" applyNumberFormat="1" applyFont="1" applyFill="1" applyBorder="1" applyProtection="1">
      <protection hidden="1"/>
    </xf>
    <xf numFmtId="0" fontId="1" fillId="2" borderId="11" xfId="0" quotePrefix="1" applyFont="1" applyFill="1" applyBorder="1" applyAlignment="1" applyProtection="1">
      <alignment horizontal="left"/>
      <protection hidden="1"/>
    </xf>
    <xf numFmtId="165" fontId="1" fillId="0" borderId="0" xfId="4" applyNumberFormat="1" applyFont="1" applyFill="1" applyBorder="1" applyProtection="1">
      <protection hidden="1"/>
    </xf>
    <xf numFmtId="0" fontId="1" fillId="2" borderId="1" xfId="0" quotePrefix="1" applyFont="1" applyFill="1" applyBorder="1" applyAlignment="1" applyProtection="1">
      <alignment horizontal="left"/>
      <protection hidden="1"/>
    </xf>
    <xf numFmtId="10" fontId="1" fillId="3" borderId="9" xfId="0" applyNumberFormat="1" applyFont="1" applyFill="1" applyBorder="1" applyProtection="1">
      <protection hidden="1"/>
    </xf>
    <xf numFmtId="10" fontId="1" fillId="3" borderId="1" xfId="0" applyNumberFormat="1" applyFont="1" applyFill="1" applyBorder="1" applyProtection="1">
      <protection hidden="1"/>
    </xf>
    <xf numFmtId="170" fontId="1" fillId="10" borderId="1" xfId="4" applyNumberFormat="1" applyFont="1" applyFill="1" applyBorder="1" applyProtection="1">
      <protection hidden="1"/>
    </xf>
    <xf numFmtId="170" fontId="1" fillId="3" borderId="1" xfId="4" applyNumberFormat="1" applyFont="1" applyFill="1" applyBorder="1" applyProtection="1">
      <protection hidden="1"/>
    </xf>
    <xf numFmtId="165" fontId="1" fillId="0" borderId="20" xfId="7" applyNumberFormat="1" applyFont="1" applyBorder="1" applyAlignment="1">
      <alignment horizontal="right"/>
    </xf>
    <xf numFmtId="165" fontId="1" fillId="3" borderId="2" xfId="4" applyNumberFormat="1" applyFont="1" applyFill="1" applyBorder="1"/>
    <xf numFmtId="165" fontId="1" fillId="3" borderId="3" xfId="4" applyNumberFormat="1" applyFont="1" applyFill="1" applyBorder="1"/>
    <xf numFmtId="10" fontId="1" fillId="3" borderId="4" xfId="7" applyNumberFormat="1" applyFont="1" applyFill="1" applyBorder="1"/>
    <xf numFmtId="165" fontId="1" fillId="3" borderId="5" xfId="4" applyNumberFormat="1" applyFont="1" applyFill="1" applyBorder="1"/>
    <xf numFmtId="165" fontId="1" fillId="3" borderId="0" xfId="4" applyNumberFormat="1" applyFont="1" applyFill="1" applyBorder="1"/>
    <xf numFmtId="10" fontId="1" fillId="3" borderId="6" xfId="7" applyNumberFormat="1" applyFont="1" applyFill="1" applyBorder="1"/>
    <xf numFmtId="165" fontId="1" fillId="3" borderId="7" xfId="4" applyNumberFormat="1" applyFont="1" applyFill="1" applyBorder="1"/>
    <xf numFmtId="10" fontId="1" fillId="3" borderId="8" xfId="7" applyNumberFormat="1" applyFont="1" applyFill="1" applyBorder="1"/>
    <xf numFmtId="10" fontId="1" fillId="3" borderId="9" xfId="0" applyNumberFormat="1" applyFont="1" applyFill="1" applyBorder="1"/>
    <xf numFmtId="10" fontId="1" fillId="3" borderId="4" xfId="0" applyNumberFormat="1" applyFont="1" applyFill="1" applyBorder="1"/>
    <xf numFmtId="10" fontId="1" fillId="16" borderId="12" xfId="0" applyNumberFormat="1" applyFont="1" applyFill="1" applyBorder="1"/>
    <xf numFmtId="0" fontId="1" fillId="3" borderId="8" xfId="0" applyFont="1" applyFill="1" applyBorder="1"/>
    <xf numFmtId="0" fontId="1" fillId="3" borderId="9" xfId="0" applyFont="1" applyFill="1" applyBorder="1"/>
    <xf numFmtId="164" fontId="1" fillId="3" borderId="1" xfId="4" applyNumberFormat="1" applyFont="1" applyFill="1" applyBorder="1" applyProtection="1"/>
    <xf numFmtId="167" fontId="1" fillId="3" borderId="4" xfId="0" applyNumberFormat="1" applyFont="1" applyFill="1" applyBorder="1"/>
    <xf numFmtId="0" fontId="1" fillId="3" borderId="6" xfId="0" applyFont="1" applyFill="1" applyBorder="1"/>
    <xf numFmtId="169" fontId="1" fillId="3" borderId="10" xfId="3" applyNumberFormat="1" applyFont="1" applyFill="1" applyBorder="1"/>
    <xf numFmtId="6" fontId="1" fillId="16" borderId="12" xfId="4" applyNumberFormat="1" applyFont="1" applyFill="1" applyBorder="1"/>
    <xf numFmtId="6" fontId="1" fillId="3" borderId="15" xfId="4" applyNumberFormat="1" applyFont="1" applyFill="1" applyBorder="1"/>
    <xf numFmtId="6" fontId="1" fillId="3" borderId="1" xfId="4" applyNumberFormat="1" applyFont="1" applyFill="1" applyBorder="1"/>
    <xf numFmtId="8" fontId="1" fillId="3" borderId="1" xfId="4" applyNumberFormat="1" applyFont="1" applyFill="1" applyBorder="1"/>
    <xf numFmtId="10" fontId="1" fillId="3" borderId="9" xfId="7" applyNumberFormat="1" applyFont="1" applyFill="1" applyBorder="1" applyProtection="1"/>
    <xf numFmtId="43" fontId="1" fillId="3" borderId="4" xfId="3" applyFont="1" applyFill="1" applyBorder="1" applyProtection="1"/>
    <xf numFmtId="0" fontId="1" fillId="2" borderId="13" xfId="0" applyFont="1" applyFill="1" applyBorder="1"/>
    <xf numFmtId="0" fontId="1" fillId="3" borderId="1" xfId="4" applyNumberFormat="1" applyFont="1" applyFill="1" applyBorder="1"/>
    <xf numFmtId="44" fontId="1" fillId="13" borderId="1" xfId="4" applyFont="1" applyFill="1" applyBorder="1" applyAlignment="1">
      <alignment vertical="center"/>
    </xf>
    <xf numFmtId="0" fontId="1" fillId="0" borderId="5" xfId="0" quotePrefix="1" applyFont="1" applyBorder="1" applyAlignment="1" applyProtection="1">
      <alignment horizontal="left"/>
      <protection hidden="1"/>
    </xf>
    <xf numFmtId="0" fontId="1" fillId="0" borderId="0" xfId="0" quotePrefix="1" applyFont="1" applyAlignment="1" applyProtection="1">
      <alignment horizontal="left"/>
      <protection hidden="1"/>
    </xf>
    <xf numFmtId="0" fontId="1" fillId="0" borderId="6" xfId="0" quotePrefix="1" applyFont="1" applyBorder="1" applyAlignment="1" applyProtection="1">
      <alignment horizontal="left"/>
      <protection hidden="1"/>
    </xf>
    <xf numFmtId="0" fontId="7" fillId="0" borderId="7" xfId="0" applyFont="1" applyBorder="1" applyProtection="1">
      <protection hidden="1"/>
    </xf>
    <xf numFmtId="0" fontId="7" fillId="0" borderId="16" xfId="0" applyFont="1" applyBorder="1" applyProtection="1">
      <protection hidden="1"/>
    </xf>
    <xf numFmtId="0" fontId="7" fillId="0" borderId="8" xfId="0" applyFont="1" applyBorder="1" applyProtection="1">
      <protection hidden="1"/>
    </xf>
    <xf numFmtId="0" fontId="7" fillId="0" borderId="5" xfId="0" applyFont="1" applyBorder="1" applyAlignment="1" applyProtection="1">
      <alignment horizontal="center"/>
      <protection hidden="1"/>
    </xf>
    <xf numFmtId="0" fontId="7" fillId="0" borderId="0" xfId="0" applyFont="1" applyAlignment="1" applyProtection="1">
      <alignment horizontal="center"/>
      <protection hidden="1"/>
    </xf>
    <xf numFmtId="0" fontId="7" fillId="0" borderId="6" xfId="0" applyFont="1" applyBorder="1" applyAlignment="1" applyProtection="1">
      <alignment horizontal="center"/>
      <protection hidden="1"/>
    </xf>
    <xf numFmtId="0" fontId="1" fillId="0" borderId="0" xfId="0" applyFont="1" applyAlignment="1" applyProtection="1">
      <alignment horizontal="left"/>
      <protection hidden="1"/>
    </xf>
    <xf numFmtId="0" fontId="1" fillId="0" borderId="6" xfId="0" applyFont="1" applyBorder="1" applyAlignment="1" applyProtection="1">
      <alignment horizontal="left"/>
      <protection hidden="1"/>
    </xf>
    <xf numFmtId="0" fontId="1" fillId="0" borderId="0" xfId="0" applyFont="1" applyProtection="1">
      <protection hidden="1"/>
    </xf>
    <xf numFmtId="0" fontId="1" fillId="0" borderId="6" xfId="0" applyFont="1" applyBorder="1" applyProtection="1">
      <protection hidden="1"/>
    </xf>
    <xf numFmtId="0" fontId="2" fillId="0" borderId="0" xfId="0" applyFont="1" applyAlignment="1" applyProtection="1">
      <alignment horizontal="left" wrapText="1"/>
      <protection hidden="1"/>
    </xf>
    <xf numFmtId="0" fontId="2" fillId="0" borderId="6" xfId="0" applyFont="1" applyBorder="1" applyAlignment="1" applyProtection="1">
      <alignment horizontal="left" wrapText="1"/>
      <protection hidden="1"/>
    </xf>
    <xf numFmtId="0" fontId="1" fillId="0" borderId="5" xfId="0" applyFont="1"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0" xfId="0" applyFont="1" applyAlignment="1" applyProtection="1">
      <alignment horizontal="left"/>
      <protection hidden="1"/>
    </xf>
    <xf numFmtId="0" fontId="7" fillId="0" borderId="6" xfId="0" applyFont="1" applyBorder="1" applyAlignment="1" applyProtection="1">
      <alignment horizontal="left"/>
      <protection hidden="1"/>
    </xf>
    <xf numFmtId="0" fontId="2" fillId="9" borderId="11" xfId="0" applyFont="1" applyFill="1" applyBorder="1" applyAlignment="1" applyProtection="1">
      <alignment horizontal="center"/>
      <protection hidden="1"/>
    </xf>
    <xf numFmtId="0" fontId="2" fillId="9" borderId="13" xfId="0" quotePrefix="1" applyFont="1" applyFill="1" applyBorder="1" applyAlignment="1" applyProtection="1">
      <alignment horizontal="center"/>
      <protection hidden="1"/>
    </xf>
    <xf numFmtId="0" fontId="2" fillId="9" borderId="9" xfId="0" quotePrefix="1" applyFont="1" applyFill="1" applyBorder="1" applyAlignment="1" applyProtection="1">
      <alignment horizontal="center"/>
      <protection hidden="1"/>
    </xf>
    <xf numFmtId="0" fontId="1" fillId="0" borderId="0" xfId="0" applyFont="1" applyAlignment="1" applyProtection="1">
      <alignment horizontal="left" indent="1"/>
      <protection hidden="1"/>
    </xf>
    <xf numFmtId="0" fontId="1" fillId="0" borderId="6" xfId="0" applyFont="1" applyBorder="1" applyAlignment="1" applyProtection="1">
      <alignment horizontal="left" indent="1"/>
      <protection hidden="1"/>
    </xf>
    <xf numFmtId="0" fontId="7" fillId="0" borderId="7"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8"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1" fillId="0" borderId="5"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1" fillId="0" borderId="5" xfId="0" applyFont="1" applyBorder="1" applyAlignment="1" applyProtection="1">
      <alignment horizontal="left" vertical="center" wrapText="1"/>
      <protection hidden="1"/>
    </xf>
    <xf numFmtId="0" fontId="1" fillId="0" borderId="0" xfId="0" quotePrefix="1" applyFont="1" applyAlignment="1" applyProtection="1">
      <alignment horizontal="left" vertical="center" wrapText="1"/>
      <protection hidden="1"/>
    </xf>
    <xf numFmtId="0" fontId="1" fillId="0" borderId="6" xfId="0" quotePrefix="1" applyFont="1" applyBorder="1" applyAlignment="1" applyProtection="1">
      <alignment horizontal="left" vertical="center" wrapText="1"/>
      <protection hidden="1"/>
    </xf>
    <xf numFmtId="0" fontId="1" fillId="0" borderId="5" xfId="0" quotePrefix="1" applyFont="1" applyBorder="1" applyAlignment="1" applyProtection="1">
      <alignment horizontal="left" vertical="center" wrapText="1"/>
      <protection hidden="1"/>
    </xf>
    <xf numFmtId="0" fontId="2" fillId="0" borderId="5" xfId="0" quotePrefix="1" applyFont="1" applyBorder="1" applyAlignment="1" applyProtection="1">
      <alignment horizontal="center"/>
      <protection hidden="1"/>
    </xf>
    <xf numFmtId="0" fontId="2" fillId="0" borderId="0" xfId="0" quotePrefix="1" applyFont="1" applyAlignment="1" applyProtection="1">
      <alignment horizontal="center"/>
      <protection hidden="1"/>
    </xf>
    <xf numFmtId="0" fontId="2" fillId="0" borderId="6" xfId="0" quotePrefix="1" applyFont="1" applyBorder="1" applyAlignment="1" applyProtection="1">
      <alignment horizontal="center"/>
      <protection hidden="1"/>
    </xf>
    <xf numFmtId="0" fontId="3" fillId="9" borderId="11"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0" borderId="5" xfId="0" quotePrefix="1" applyFont="1" applyBorder="1" applyAlignment="1" applyProtection="1">
      <alignment horizontal="center"/>
      <protection hidden="1"/>
    </xf>
    <xf numFmtId="0" fontId="3" fillId="0" borderId="0" xfId="0" quotePrefix="1" applyFont="1" applyAlignment="1" applyProtection="1">
      <alignment horizontal="center"/>
      <protection hidden="1"/>
    </xf>
    <xf numFmtId="0" fontId="3" fillId="0" borderId="6" xfId="0" quotePrefix="1" applyFont="1" applyBorder="1" applyAlignment="1" applyProtection="1">
      <alignment horizontal="center"/>
      <protection hidden="1"/>
    </xf>
    <xf numFmtId="0" fontId="1" fillId="9" borderId="11" xfId="0" applyFont="1" applyFill="1" applyBorder="1" applyAlignment="1" applyProtection="1">
      <alignment horizontal="left"/>
      <protection hidden="1"/>
    </xf>
    <xf numFmtId="0" fontId="1" fillId="9" borderId="13" xfId="0" applyFont="1" applyFill="1" applyBorder="1" applyAlignment="1" applyProtection="1">
      <alignment horizontal="left"/>
      <protection hidden="1"/>
    </xf>
    <xf numFmtId="0" fontId="1" fillId="9" borderId="11" xfId="0" quotePrefix="1" applyFont="1" applyFill="1" applyBorder="1" applyAlignment="1" applyProtection="1">
      <alignment horizontal="left"/>
      <protection hidden="1"/>
    </xf>
    <xf numFmtId="0" fontId="1" fillId="9" borderId="13" xfId="0" quotePrefix="1" applyFont="1" applyFill="1" applyBorder="1" applyAlignment="1" applyProtection="1">
      <alignment horizontal="left"/>
      <protection hidden="1"/>
    </xf>
    <xf numFmtId="0" fontId="2" fillId="9" borderId="11" xfId="0" applyFont="1" applyFill="1" applyBorder="1" applyAlignment="1" applyProtection="1">
      <alignment horizontal="left"/>
      <protection hidden="1"/>
    </xf>
    <xf numFmtId="0" fontId="2" fillId="9" borderId="13" xfId="0" applyFont="1" applyFill="1" applyBorder="1" applyAlignment="1" applyProtection="1">
      <alignment horizontal="left"/>
      <protection hidden="1"/>
    </xf>
    <xf numFmtId="0" fontId="1" fillId="0" borderId="11" xfId="0" applyFont="1" applyBorder="1" applyAlignment="1" applyProtection="1">
      <alignment horizontal="left"/>
      <protection locked="0"/>
    </xf>
    <xf numFmtId="0" fontId="1" fillId="0" borderId="9" xfId="0" quotePrefix="1" applyFont="1" applyBorder="1" applyAlignment="1" applyProtection="1">
      <alignment horizontal="left"/>
      <protection locked="0"/>
    </xf>
    <xf numFmtId="2" fontId="1" fillId="9" borderId="2" xfId="0" quotePrefix="1" applyNumberFormat="1" applyFont="1" applyFill="1" applyBorder="1" applyAlignment="1" applyProtection="1">
      <alignment horizontal="left"/>
      <protection hidden="1"/>
    </xf>
    <xf numFmtId="2" fontId="1" fillId="9" borderId="3" xfId="0" quotePrefix="1" applyNumberFormat="1" applyFont="1" applyFill="1" applyBorder="1" applyAlignment="1" applyProtection="1">
      <alignment horizontal="left"/>
      <protection hidden="1"/>
    </xf>
    <xf numFmtId="2" fontId="1" fillId="9" borderId="13" xfId="0" quotePrefix="1" applyNumberFormat="1" applyFont="1" applyFill="1" applyBorder="1" applyAlignment="1" applyProtection="1">
      <alignment horizontal="left"/>
      <protection hidden="1"/>
    </xf>
    <xf numFmtId="2" fontId="1" fillId="9" borderId="9" xfId="0" quotePrefix="1" applyNumberFormat="1" applyFont="1" applyFill="1" applyBorder="1" applyAlignment="1" applyProtection="1">
      <alignment horizontal="left"/>
      <protection hidden="1"/>
    </xf>
    <xf numFmtId="10" fontId="2" fillId="0" borderId="11" xfId="7" applyNumberFormat="1" applyFont="1" applyFill="1" applyBorder="1" applyAlignment="1" applyProtection="1">
      <protection locked="0"/>
    </xf>
    <xf numFmtId="10" fontId="2" fillId="0" borderId="13" xfId="7" applyNumberFormat="1" applyFont="1" applyFill="1" applyBorder="1" applyAlignment="1" applyProtection="1">
      <protection locked="0"/>
    </xf>
    <xf numFmtId="166" fontId="2" fillId="8" borderId="11" xfId="3" applyNumberFormat="1" applyFont="1" applyFill="1" applyBorder="1" applyAlignment="1" applyProtection="1"/>
    <xf numFmtId="166" fontId="2" fillId="8" borderId="9" xfId="3" applyNumberFormat="1" applyFont="1" applyFill="1" applyBorder="1" applyAlignment="1" applyProtection="1"/>
    <xf numFmtId="166" fontId="2" fillId="0" borderId="11" xfId="3" applyNumberFormat="1" applyFont="1" applyFill="1" applyBorder="1" applyAlignment="1" applyProtection="1">
      <protection locked="0"/>
    </xf>
    <xf numFmtId="166" fontId="2" fillId="0" borderId="9" xfId="3" applyNumberFormat="1" applyFont="1" applyFill="1" applyBorder="1" applyAlignment="1" applyProtection="1">
      <protection locked="0"/>
    </xf>
    <xf numFmtId="10" fontId="2" fillId="0" borderId="11" xfId="7" applyNumberFormat="1" applyFont="1" applyFill="1" applyBorder="1" applyAlignment="1" applyProtection="1">
      <alignment horizontal="right"/>
      <protection locked="0"/>
    </xf>
    <xf numFmtId="10" fontId="2" fillId="0" borderId="13" xfId="7" applyNumberFormat="1" applyFont="1" applyFill="1" applyBorder="1" applyAlignment="1" applyProtection="1">
      <alignment horizontal="right"/>
      <protection locked="0"/>
    </xf>
    <xf numFmtId="164" fontId="2" fillId="8" borderId="11" xfId="4" applyNumberFormat="1" applyFont="1" applyFill="1" applyBorder="1" applyAlignment="1" applyProtection="1">
      <protection hidden="1"/>
    </xf>
    <xf numFmtId="164" fontId="2" fillId="8" borderId="9" xfId="4" applyNumberFormat="1" applyFont="1" applyFill="1" applyBorder="1" applyAlignment="1" applyProtection="1">
      <protection hidden="1"/>
    </xf>
    <xf numFmtId="164" fontId="2" fillId="0" borderId="11" xfId="4" applyNumberFormat="1" applyFont="1" applyFill="1" applyBorder="1" applyAlignment="1" applyProtection="1">
      <protection locked="0"/>
    </xf>
    <xf numFmtId="164" fontId="2" fillId="0" borderId="9" xfId="4" applyNumberFormat="1" applyFont="1" applyFill="1" applyBorder="1" applyAlignment="1" applyProtection="1">
      <protection locked="0"/>
    </xf>
    <xf numFmtId="1" fontId="2" fillId="0" borderId="1" xfId="0" applyNumberFormat="1" applyFont="1" applyBorder="1" applyAlignment="1" applyProtection="1">
      <alignment horizontal="right"/>
      <protection locked="0"/>
    </xf>
    <xf numFmtId="0" fontId="5" fillId="0" borderId="4" xfId="0" quotePrefix="1" applyFont="1" applyBorder="1" applyAlignment="1" applyProtection="1">
      <alignment horizontal="center" vertical="center" wrapText="1"/>
      <protection hidden="1"/>
    </xf>
    <xf numFmtId="0" fontId="5" fillId="0" borderId="8" xfId="0" quotePrefix="1" applyFont="1" applyBorder="1" applyAlignment="1" applyProtection="1">
      <alignment horizontal="center" vertical="center" wrapText="1"/>
      <protection hidden="1"/>
    </xf>
    <xf numFmtId="0" fontId="0" fillId="9" borderId="5" xfId="0" applyFill="1" applyBorder="1" applyProtection="1">
      <protection hidden="1"/>
    </xf>
    <xf numFmtId="0" fontId="0" fillId="9" borderId="0" xfId="0" applyFill="1" applyProtection="1">
      <protection hidden="1"/>
    </xf>
    <xf numFmtId="0" fontId="0" fillId="9" borderId="6" xfId="0" applyFill="1" applyBorder="1" applyProtection="1">
      <protection hidden="1"/>
    </xf>
    <xf numFmtId="0" fontId="9" fillId="0" borderId="3" xfId="0" applyFont="1" applyBorder="1" applyAlignment="1" applyProtection="1">
      <alignment horizontal="center" vertical="center"/>
      <protection hidden="1"/>
    </xf>
    <xf numFmtId="0" fontId="9" fillId="0" borderId="16" xfId="0" applyFont="1" applyBorder="1" applyAlignment="1" applyProtection="1">
      <alignment horizontal="center" vertical="center"/>
      <protection hidden="1"/>
    </xf>
    <xf numFmtId="0" fontId="2" fillId="0" borderId="11"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9" xfId="0" applyFont="1" applyBorder="1" applyAlignment="1" applyProtection="1">
      <alignment horizontal="left"/>
      <protection locked="0"/>
    </xf>
    <xf numFmtId="0" fontId="5" fillId="0" borderId="3" xfId="0" quotePrefix="1" applyFont="1" applyBorder="1" applyAlignment="1" applyProtection="1">
      <alignment horizontal="center" vertical="center"/>
      <protection hidden="1"/>
    </xf>
    <xf numFmtId="0" fontId="5" fillId="0" borderId="16" xfId="0" quotePrefix="1" applyFont="1" applyBorder="1" applyAlignment="1" applyProtection="1">
      <alignment horizontal="center" vertical="center"/>
      <protection hidden="1"/>
    </xf>
    <xf numFmtId="0" fontId="0" fillId="9" borderId="7" xfId="0" applyFill="1" applyBorder="1" applyProtection="1">
      <protection hidden="1"/>
    </xf>
    <xf numFmtId="0" fontId="5" fillId="0" borderId="2" xfId="0" quotePrefix="1" applyFont="1" applyBorder="1" applyAlignment="1" applyProtection="1">
      <alignment horizontal="center" vertical="center"/>
      <protection hidden="1"/>
    </xf>
    <xf numFmtId="0" fontId="5" fillId="0" borderId="7" xfId="0" quotePrefix="1" applyFont="1" applyBorder="1" applyAlignment="1" applyProtection="1">
      <alignment horizontal="center" vertical="center"/>
      <protection hidden="1"/>
    </xf>
    <xf numFmtId="0" fontId="2" fillId="9" borderId="5" xfId="0" applyFont="1" applyFill="1" applyBorder="1" applyAlignment="1" applyProtection="1">
      <alignment horizontal="center"/>
      <protection hidden="1"/>
    </xf>
    <xf numFmtId="0" fontId="2" fillId="9" borderId="0" xfId="0" applyFont="1" applyFill="1" applyAlignment="1" applyProtection="1">
      <alignment horizontal="center"/>
      <protection hidden="1"/>
    </xf>
    <xf numFmtId="0" fontId="2" fillId="9" borderId="6" xfId="0" applyFont="1" applyFill="1" applyBorder="1" applyAlignment="1" applyProtection="1">
      <alignment horizontal="center"/>
      <protection hidden="1"/>
    </xf>
    <xf numFmtId="0" fontId="2" fillId="9" borderId="7" xfId="0" applyFont="1" applyFill="1" applyBorder="1" applyAlignment="1" applyProtection="1">
      <alignment horizontal="center"/>
      <protection hidden="1"/>
    </xf>
    <xf numFmtId="0" fontId="2" fillId="9" borderId="16" xfId="0" applyFont="1" applyFill="1" applyBorder="1" applyAlignment="1" applyProtection="1">
      <alignment horizontal="center"/>
      <protection hidden="1"/>
    </xf>
    <xf numFmtId="0" fontId="2" fillId="9" borderId="8" xfId="0" applyFont="1" applyFill="1" applyBorder="1" applyAlignment="1" applyProtection="1">
      <alignment horizontal="center"/>
      <protection hidden="1"/>
    </xf>
    <xf numFmtId="0" fontId="4" fillId="8" borderId="2" xfId="0" quotePrefix="1" applyFont="1" applyFill="1" applyBorder="1" applyAlignment="1" applyProtection="1">
      <alignment horizontal="center" vertical="center" wrapText="1"/>
      <protection hidden="1"/>
    </xf>
    <xf numFmtId="0" fontId="4" fillId="8" borderId="3" xfId="0" quotePrefix="1" applyFont="1" applyFill="1" applyBorder="1" applyAlignment="1" applyProtection="1">
      <alignment horizontal="center" vertical="center" wrapText="1"/>
      <protection hidden="1"/>
    </xf>
    <xf numFmtId="0" fontId="4" fillId="8" borderId="6" xfId="0" quotePrefix="1" applyFont="1" applyFill="1" applyBorder="1" applyAlignment="1" applyProtection="1">
      <alignment horizontal="center" vertical="center" wrapText="1"/>
      <protection hidden="1"/>
    </xf>
    <xf numFmtId="0" fontId="4" fillId="8" borderId="5" xfId="0" quotePrefix="1" applyFont="1" applyFill="1" applyBorder="1" applyAlignment="1" applyProtection="1">
      <alignment horizontal="center" vertical="center" wrapText="1"/>
      <protection hidden="1"/>
    </xf>
    <xf numFmtId="0" fontId="4" fillId="8" borderId="0" xfId="0" quotePrefix="1" applyFont="1" applyFill="1" applyAlignment="1" applyProtection="1">
      <alignment horizontal="center" vertical="center" wrapText="1"/>
      <protection hidden="1"/>
    </xf>
    <xf numFmtId="0" fontId="4" fillId="8" borderId="7" xfId="0" quotePrefix="1" applyFont="1" applyFill="1" applyBorder="1" applyAlignment="1" applyProtection="1">
      <alignment horizontal="center" vertical="center" wrapText="1"/>
      <protection hidden="1"/>
    </xf>
    <xf numFmtId="0" fontId="4" fillId="8" borderId="16" xfId="0" quotePrefix="1" applyFont="1" applyFill="1" applyBorder="1" applyAlignment="1" applyProtection="1">
      <alignment horizontal="center" vertical="center" wrapText="1"/>
      <protection hidden="1"/>
    </xf>
    <xf numFmtId="0" fontId="4" fillId="8" borderId="8" xfId="0" quotePrefix="1" applyFont="1" applyFill="1" applyBorder="1" applyAlignment="1" applyProtection="1">
      <alignment horizontal="center" vertical="center" wrapText="1"/>
      <protection hidden="1"/>
    </xf>
    <xf numFmtId="171" fontId="2" fillId="8" borderId="11" xfId="4" applyNumberFormat="1" applyFont="1" applyFill="1" applyBorder="1" applyAlignment="1" applyProtection="1">
      <alignment horizontal="center"/>
      <protection hidden="1"/>
    </xf>
    <xf numFmtId="171" fontId="2" fillId="8" borderId="9" xfId="4" applyNumberFormat="1" applyFont="1" applyFill="1" applyBorder="1" applyAlignment="1" applyProtection="1">
      <alignment horizontal="center"/>
      <protection hidden="1"/>
    </xf>
    <xf numFmtId="0" fontId="2" fillId="9" borderId="11" xfId="0" quotePrefix="1" applyFont="1" applyFill="1" applyBorder="1" applyAlignment="1" applyProtection="1">
      <alignment horizontal="center"/>
      <protection hidden="1"/>
    </xf>
    <xf numFmtId="0" fontId="1" fillId="9" borderId="11" xfId="0" quotePrefix="1" applyFont="1" applyFill="1" applyBorder="1" applyProtection="1">
      <protection hidden="1"/>
    </xf>
    <xf numFmtId="0" fontId="1" fillId="9" borderId="13" xfId="0" quotePrefix="1" applyFont="1" applyFill="1" applyBorder="1" applyProtection="1">
      <protection hidden="1"/>
    </xf>
    <xf numFmtId="0" fontId="1" fillId="9" borderId="9" xfId="0" quotePrefix="1" applyFont="1" applyFill="1" applyBorder="1" applyProtection="1">
      <protection hidden="1"/>
    </xf>
    <xf numFmtId="0" fontId="1" fillId="9" borderId="9" xfId="0" quotePrefix="1" applyFont="1" applyFill="1" applyBorder="1" applyAlignment="1" applyProtection="1">
      <alignment horizontal="left"/>
      <protection hidden="1"/>
    </xf>
    <xf numFmtId="0" fontId="2" fillId="9" borderId="11" xfId="0" quotePrefix="1" applyFont="1" applyFill="1" applyBorder="1" applyProtection="1">
      <protection hidden="1"/>
    </xf>
    <xf numFmtId="0" fontId="2" fillId="9" borderId="13" xfId="0" quotePrefix="1" applyFont="1" applyFill="1" applyBorder="1" applyProtection="1">
      <protection hidden="1"/>
    </xf>
    <xf numFmtId="0" fontId="2" fillId="9" borderId="9" xfId="0" quotePrefix="1" applyFont="1" applyFill="1" applyBorder="1" applyProtection="1">
      <protection hidden="1"/>
    </xf>
    <xf numFmtId="0" fontId="2" fillId="9" borderId="11" xfId="0" quotePrefix="1" applyFont="1" applyFill="1" applyBorder="1" applyAlignment="1" applyProtection="1">
      <alignment horizontal="left"/>
      <protection hidden="1"/>
    </xf>
    <xf numFmtId="0" fontId="2" fillId="9" borderId="13" xfId="0" quotePrefix="1" applyFont="1" applyFill="1" applyBorder="1" applyAlignment="1" applyProtection="1">
      <alignment horizontal="left"/>
      <protection hidden="1"/>
    </xf>
    <xf numFmtId="0" fontId="2" fillId="9" borderId="9" xfId="0" quotePrefix="1" applyFont="1" applyFill="1" applyBorder="1" applyAlignment="1" applyProtection="1">
      <alignment horizontal="left"/>
      <protection hidden="1"/>
    </xf>
    <xf numFmtId="0" fontId="1" fillId="9" borderId="0" xfId="0" quotePrefix="1" applyFont="1" applyFill="1" applyAlignment="1" applyProtection="1">
      <alignment horizontal="center" vertical="center" wrapText="1"/>
      <protection hidden="1"/>
    </xf>
    <xf numFmtId="0" fontId="1" fillId="9" borderId="6" xfId="0" quotePrefix="1" applyFont="1" applyFill="1" applyBorder="1" applyAlignment="1" applyProtection="1">
      <alignment horizontal="center" vertical="center" wrapText="1"/>
      <protection hidden="1"/>
    </xf>
    <xf numFmtId="0" fontId="1" fillId="0" borderId="13" xfId="0" applyFont="1" applyBorder="1" applyProtection="1">
      <protection hidden="1"/>
    </xf>
    <xf numFmtId="0" fontId="1" fillId="0" borderId="16" xfId="0" applyFont="1" applyBorder="1" applyProtection="1">
      <protection hidden="1"/>
    </xf>
    <xf numFmtId="2" fontId="1" fillId="9" borderId="11" xfId="0" quotePrefix="1" applyNumberFormat="1" applyFont="1" applyFill="1" applyBorder="1" applyProtection="1">
      <protection hidden="1"/>
    </xf>
    <xf numFmtId="2" fontId="1" fillId="9" borderId="13" xfId="0" quotePrefix="1" applyNumberFormat="1" applyFont="1" applyFill="1" applyBorder="1" applyProtection="1">
      <protection hidden="1"/>
    </xf>
    <xf numFmtId="0" fontId="1" fillId="9" borderId="7" xfId="0" quotePrefix="1" applyFont="1" applyFill="1" applyBorder="1" applyAlignment="1" applyProtection="1">
      <alignment horizontal="left"/>
      <protection hidden="1"/>
    </xf>
    <xf numFmtId="0" fontId="1" fillId="9" borderId="16" xfId="0" quotePrefix="1" applyFont="1" applyFill="1" applyBorder="1" applyAlignment="1" applyProtection="1">
      <alignment horizontal="left"/>
      <protection hidden="1"/>
    </xf>
    <xf numFmtId="0" fontId="11" fillId="9" borderId="14" xfId="0" quotePrefix="1" applyFont="1" applyFill="1" applyBorder="1" applyAlignment="1" applyProtection="1">
      <alignment horizontal="center" vertical="center" wrapText="1"/>
      <protection hidden="1"/>
    </xf>
    <xf numFmtId="0" fontId="11" fillId="9" borderId="10" xfId="0" quotePrefix="1" applyFont="1" applyFill="1" applyBorder="1" applyAlignment="1" applyProtection="1">
      <alignment horizontal="center" vertical="center" wrapText="1"/>
      <protection hidden="1"/>
    </xf>
    <xf numFmtId="0" fontId="1" fillId="8" borderId="11" xfId="0" applyFont="1" applyFill="1" applyBorder="1" applyAlignment="1" applyProtection="1">
      <alignment horizontal="left"/>
      <protection hidden="1"/>
    </xf>
    <xf numFmtId="0" fontId="1" fillId="8" borderId="13" xfId="0" applyFont="1" applyFill="1" applyBorder="1" applyAlignment="1" applyProtection="1">
      <alignment horizontal="left"/>
      <protection hidden="1"/>
    </xf>
    <xf numFmtId="0" fontId="1" fillId="8" borderId="9" xfId="0" quotePrefix="1" applyFont="1" applyFill="1" applyBorder="1" applyAlignment="1" applyProtection="1">
      <alignment horizontal="left"/>
      <protection hidden="1"/>
    </xf>
    <xf numFmtId="0" fontId="1" fillId="8" borderId="1" xfId="0" applyFont="1" applyFill="1" applyBorder="1" applyAlignment="1" applyProtection="1">
      <alignment horizontal="left"/>
      <protection hidden="1"/>
    </xf>
    <xf numFmtId="0" fontId="1" fillId="8" borderId="1" xfId="0" quotePrefix="1" applyFont="1" applyFill="1" applyBorder="1" applyAlignment="1" applyProtection="1">
      <alignment horizontal="left"/>
      <protection hidden="1"/>
    </xf>
    <xf numFmtId="0" fontId="4" fillId="8" borderId="4" xfId="0" quotePrefix="1" applyFont="1" applyFill="1" applyBorder="1" applyAlignment="1" applyProtection="1">
      <alignment horizontal="center" vertical="center" wrapText="1"/>
      <protection hidden="1"/>
    </xf>
    <xf numFmtId="0" fontId="1" fillId="8" borderId="11" xfId="0" quotePrefix="1" applyFont="1" applyFill="1" applyBorder="1" applyAlignment="1" applyProtection="1">
      <alignment horizontal="left"/>
      <protection hidden="1"/>
    </xf>
    <xf numFmtId="0" fontId="1" fillId="8" borderId="13" xfId="0" quotePrefix="1" applyFont="1" applyFill="1" applyBorder="1" applyAlignment="1" applyProtection="1">
      <alignment horizontal="left"/>
      <protection hidden="1"/>
    </xf>
    <xf numFmtId="0" fontId="1" fillId="8" borderId="10" xfId="0" applyFont="1" applyFill="1" applyBorder="1" applyAlignment="1" applyProtection="1">
      <alignment horizontal="left"/>
      <protection hidden="1"/>
    </xf>
    <xf numFmtId="0" fontId="1" fillId="8" borderId="10" xfId="0" quotePrefix="1" applyFont="1" applyFill="1" applyBorder="1" applyAlignment="1" applyProtection="1">
      <alignment horizontal="left"/>
      <protection hidden="1"/>
    </xf>
    <xf numFmtId="171" fontId="2" fillId="0" borderId="11" xfId="4" applyNumberFormat="1" applyFont="1" applyFill="1" applyBorder="1" applyAlignment="1" applyProtection="1">
      <alignment horizontal="center"/>
      <protection hidden="1"/>
    </xf>
    <xf numFmtId="171" fontId="2" fillId="0" borderId="9" xfId="4" applyNumberFormat="1" applyFont="1" applyFill="1" applyBorder="1" applyAlignment="1" applyProtection="1">
      <alignment horizontal="center"/>
      <protection hidden="1"/>
    </xf>
    <xf numFmtId="0" fontId="2" fillId="8" borderId="5" xfId="0" applyFont="1" applyFill="1" applyBorder="1" applyAlignment="1" applyProtection="1">
      <alignment horizontal="center"/>
      <protection hidden="1"/>
    </xf>
    <xf numFmtId="0" fontId="2" fillId="8" borderId="0" xfId="0" applyFont="1" applyFill="1" applyAlignment="1" applyProtection="1">
      <alignment horizontal="center"/>
      <protection hidden="1"/>
    </xf>
    <xf numFmtId="0" fontId="2" fillId="8" borderId="6" xfId="0" applyFont="1" applyFill="1" applyBorder="1" applyAlignment="1" applyProtection="1">
      <alignment horizontal="center"/>
      <protection hidden="1"/>
    </xf>
    <xf numFmtId="0" fontId="2" fillId="8" borderId="7" xfId="0" applyFont="1" applyFill="1" applyBorder="1" applyAlignment="1" applyProtection="1">
      <alignment horizontal="center"/>
      <protection hidden="1"/>
    </xf>
    <xf numFmtId="0" fontId="2" fillId="8" borderId="16" xfId="0" applyFont="1" applyFill="1" applyBorder="1" applyAlignment="1" applyProtection="1">
      <alignment horizontal="center"/>
      <protection hidden="1"/>
    </xf>
    <xf numFmtId="0" fontId="2" fillId="8" borderId="8" xfId="0" applyFont="1" applyFill="1" applyBorder="1" applyAlignment="1" applyProtection="1">
      <alignment horizontal="center"/>
      <protection hidden="1"/>
    </xf>
    <xf numFmtId="0" fontId="2" fillId="8" borderId="11" xfId="0" quotePrefix="1" applyFont="1" applyFill="1" applyBorder="1" applyAlignment="1" applyProtection="1">
      <alignment horizontal="center"/>
      <protection hidden="1"/>
    </xf>
    <xf numFmtId="0" fontId="2" fillId="8" borderId="9" xfId="0" quotePrefix="1" applyFont="1" applyFill="1" applyBorder="1" applyAlignment="1" applyProtection="1">
      <alignment horizontal="center"/>
      <protection hidden="1"/>
    </xf>
    <xf numFmtId="0" fontId="1" fillId="8" borderId="11" xfId="0" quotePrefix="1" applyFont="1" applyFill="1" applyBorder="1" applyProtection="1">
      <protection hidden="1"/>
    </xf>
    <xf numFmtId="0" fontId="1" fillId="8" borderId="13" xfId="0" quotePrefix="1" applyFont="1" applyFill="1" applyBorder="1" applyProtection="1">
      <protection hidden="1"/>
    </xf>
    <xf numFmtId="0" fontId="1" fillId="8" borderId="9" xfId="0" quotePrefix="1" applyFont="1" applyFill="1" applyBorder="1" applyProtection="1">
      <protection hidden="1"/>
    </xf>
    <xf numFmtId="0" fontId="2" fillId="8" borderId="11" xfId="0" quotePrefix="1" applyFont="1" applyFill="1" applyBorder="1" applyProtection="1">
      <protection hidden="1"/>
    </xf>
    <xf numFmtId="0" fontId="2" fillId="8" borderId="13" xfId="0" quotePrefix="1" applyFont="1" applyFill="1" applyBorder="1" applyProtection="1">
      <protection hidden="1"/>
    </xf>
    <xf numFmtId="0" fontId="2" fillId="8" borderId="9" xfId="0" quotePrefix="1" applyFont="1" applyFill="1" applyBorder="1" applyProtection="1">
      <protection hidden="1"/>
    </xf>
    <xf numFmtId="0" fontId="1" fillId="0" borderId="13" xfId="0" applyFont="1" applyBorder="1" applyAlignment="1">
      <alignment horizontal="left"/>
    </xf>
    <xf numFmtId="0" fontId="1" fillId="0" borderId="9" xfId="0" applyFont="1" applyBorder="1" applyAlignment="1">
      <alignment horizontal="left"/>
    </xf>
    <xf numFmtId="0" fontId="1" fillId="8" borderId="11" xfId="0" applyFont="1" applyFill="1" applyBorder="1" applyProtection="1">
      <protection hidden="1"/>
    </xf>
    <xf numFmtId="0" fontId="1" fillId="8" borderId="13" xfId="0" applyFont="1" applyFill="1" applyBorder="1" applyProtection="1">
      <protection hidden="1"/>
    </xf>
    <xf numFmtId="0" fontId="1" fillId="8" borderId="2" xfId="0" quotePrefix="1" applyFont="1" applyFill="1" applyBorder="1" applyAlignment="1" applyProtection="1">
      <alignment horizontal="left"/>
      <protection hidden="1"/>
    </xf>
    <xf numFmtId="0" fontId="1" fillId="8" borderId="3" xfId="0" quotePrefix="1" applyFont="1" applyFill="1" applyBorder="1" applyAlignment="1" applyProtection="1">
      <alignment horizontal="left"/>
      <protection hidden="1"/>
    </xf>
    <xf numFmtId="0" fontId="1" fillId="0" borderId="9" xfId="0" quotePrefix="1" applyFont="1" applyBorder="1" applyAlignment="1">
      <alignment horizontal="left"/>
    </xf>
    <xf numFmtId="0" fontId="1" fillId="8" borderId="7" xfId="0" quotePrefix="1" applyFont="1" applyFill="1" applyBorder="1" applyAlignment="1" applyProtection="1">
      <alignment horizontal="left"/>
      <protection hidden="1"/>
    </xf>
    <xf numFmtId="0" fontId="1" fillId="8" borderId="16" xfId="0" quotePrefix="1" applyFont="1" applyFill="1" applyBorder="1" applyAlignment="1" applyProtection="1">
      <alignment horizontal="left"/>
      <protection hidden="1"/>
    </xf>
    <xf numFmtId="0" fontId="11" fillId="8" borderId="14" xfId="0" quotePrefix="1" applyFont="1" applyFill="1" applyBorder="1" applyAlignment="1" applyProtection="1">
      <alignment horizontal="center" vertical="center" wrapText="1"/>
      <protection hidden="1"/>
    </xf>
    <xf numFmtId="0" fontId="2" fillId="8" borderId="11" xfId="0" quotePrefix="1" applyFont="1" applyFill="1" applyBorder="1" applyAlignment="1" applyProtection="1">
      <alignment horizontal="left"/>
      <protection hidden="1"/>
    </xf>
    <xf numFmtId="0" fontId="2" fillId="8" borderId="13" xfId="0" quotePrefix="1" applyFont="1" applyFill="1" applyBorder="1" applyAlignment="1" applyProtection="1">
      <alignment horizontal="left"/>
      <protection hidden="1"/>
    </xf>
    <xf numFmtId="0" fontId="2" fillId="8" borderId="9" xfId="0" quotePrefix="1" applyFont="1" applyFill="1" applyBorder="1" applyAlignment="1" applyProtection="1">
      <alignment horizontal="left"/>
      <protection hidden="1"/>
    </xf>
    <xf numFmtId="0" fontId="2" fillId="0" borderId="11" xfId="0" applyFont="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0" fillId="8" borderId="7" xfId="0" applyFill="1" applyBorder="1" applyProtection="1">
      <protection hidden="1"/>
    </xf>
    <xf numFmtId="0" fontId="0" fillId="8" borderId="0" xfId="0" applyFill="1" applyProtection="1">
      <protection hidden="1"/>
    </xf>
    <xf numFmtId="0" fontId="0" fillId="8" borderId="6" xfId="0" applyFill="1" applyBorder="1" applyProtection="1">
      <protection hidden="1"/>
    </xf>
    <xf numFmtId="1" fontId="2" fillId="0" borderId="1" xfId="0" applyNumberFormat="1" applyFont="1" applyBorder="1" applyAlignment="1">
      <alignment horizontal="right"/>
    </xf>
    <xf numFmtId="164" fontId="2" fillId="0" borderId="11" xfId="4" applyNumberFormat="1" applyFont="1" applyFill="1" applyBorder="1" applyAlignment="1" applyProtection="1"/>
    <xf numFmtId="164" fontId="2" fillId="0" borderId="13" xfId="4" applyNumberFormat="1" applyFont="1" applyFill="1" applyBorder="1" applyAlignment="1" applyProtection="1"/>
    <xf numFmtId="164" fontId="2" fillId="8" borderId="13" xfId="4" applyNumberFormat="1" applyFont="1" applyFill="1" applyBorder="1" applyAlignment="1" applyProtection="1">
      <protection hidden="1"/>
    </xf>
    <xf numFmtId="0" fontId="1" fillId="8" borderId="16" xfId="0" quotePrefix="1" applyFont="1" applyFill="1" applyBorder="1" applyAlignment="1" applyProtection="1">
      <alignment horizontal="center" vertical="center" wrapText="1"/>
      <protection hidden="1"/>
    </xf>
    <xf numFmtId="0" fontId="1" fillId="8" borderId="8" xfId="0" quotePrefix="1" applyFont="1" applyFill="1" applyBorder="1" applyAlignment="1" applyProtection="1">
      <alignment horizontal="center" vertical="center" wrapText="1"/>
      <protection hidden="1"/>
    </xf>
    <xf numFmtId="166" fontId="2" fillId="0" borderId="11" xfId="3" applyNumberFormat="1" applyFont="1" applyFill="1" applyBorder="1" applyAlignment="1" applyProtection="1"/>
    <xf numFmtId="166" fontId="2" fillId="0" borderId="13" xfId="3" applyNumberFormat="1" applyFont="1" applyFill="1" applyBorder="1" applyAlignment="1" applyProtection="1"/>
    <xf numFmtId="0" fontId="11" fillId="8" borderId="10" xfId="0" quotePrefix="1" applyFont="1" applyFill="1" applyBorder="1" applyAlignment="1" applyProtection="1">
      <alignment horizontal="center" vertical="center" wrapText="1"/>
      <protection hidden="1"/>
    </xf>
    <xf numFmtId="0" fontId="5" fillId="0" borderId="4" xfId="0" quotePrefix="1" applyFont="1" applyBorder="1" applyAlignment="1" applyProtection="1">
      <alignment horizontal="center" vertical="center"/>
      <protection hidden="1"/>
    </xf>
    <xf numFmtId="0" fontId="5" fillId="0" borderId="8" xfId="0" quotePrefix="1" applyFont="1" applyBorder="1" applyAlignment="1" applyProtection="1">
      <alignment horizontal="center" vertical="center"/>
      <protection hidden="1"/>
    </xf>
    <xf numFmtId="10" fontId="2" fillId="0" borderId="11" xfId="7" applyNumberFormat="1" applyFont="1" applyFill="1" applyBorder="1" applyAlignment="1" applyProtection="1"/>
    <xf numFmtId="10" fontId="2" fillId="0" borderId="13" xfId="7" applyNumberFormat="1" applyFont="1" applyFill="1" applyBorder="1" applyAlignment="1" applyProtection="1"/>
    <xf numFmtId="166" fontId="2" fillId="8" borderId="13" xfId="3" applyNumberFormat="1" applyFont="1" applyFill="1" applyBorder="1" applyAlignment="1" applyProtection="1"/>
    <xf numFmtId="0" fontId="1" fillId="8" borderId="0" xfId="0" quotePrefix="1" applyFont="1" applyFill="1" applyAlignment="1" applyProtection="1">
      <alignment horizontal="center" vertical="center" wrapText="1"/>
      <protection hidden="1"/>
    </xf>
    <xf numFmtId="0" fontId="1" fillId="8" borderId="6" xfId="0" quotePrefix="1" applyFont="1" applyFill="1" applyBorder="1" applyAlignment="1" applyProtection="1">
      <alignment horizontal="center" vertical="center" wrapText="1"/>
      <protection hidden="1"/>
    </xf>
    <xf numFmtId="0" fontId="0" fillId="8" borderId="11" xfId="0" applyFill="1" applyBorder="1" applyProtection="1">
      <protection hidden="1"/>
    </xf>
    <xf numFmtId="0" fontId="0" fillId="8" borderId="3" xfId="0" applyFill="1" applyBorder="1" applyProtection="1">
      <protection hidden="1"/>
    </xf>
    <xf numFmtId="0" fontId="0" fillId="8" borderId="4" xfId="0" applyFill="1" applyBorder="1" applyProtection="1">
      <protection hidden="1"/>
    </xf>
    <xf numFmtId="0" fontId="3" fillId="2" borderId="11" xfId="0"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protection hidden="1"/>
    </xf>
    <xf numFmtId="0" fontId="2" fillId="2" borderId="11" xfId="0" applyFont="1" applyFill="1" applyBorder="1" applyAlignment="1" applyProtection="1">
      <alignment horizontal="center"/>
      <protection hidden="1"/>
    </xf>
    <xf numFmtId="0" fontId="2" fillId="2" borderId="9" xfId="0" applyFont="1" applyFill="1" applyBorder="1" applyAlignment="1" applyProtection="1">
      <alignment horizontal="center"/>
      <protection hidden="1"/>
    </xf>
    <xf numFmtId="0" fontId="2" fillId="2" borderId="5" xfId="0" quotePrefix="1" applyFont="1" applyFill="1" applyBorder="1" applyAlignment="1" applyProtection="1">
      <alignment horizontal="center"/>
      <protection hidden="1"/>
    </xf>
    <xf numFmtId="0" fontId="2" fillId="2" borderId="0" xfId="0" quotePrefix="1" applyFont="1" applyFill="1" applyAlignment="1" applyProtection="1">
      <alignment horizontal="center"/>
      <protection hidden="1"/>
    </xf>
    <xf numFmtId="0" fontId="2" fillId="2" borderId="11" xfId="0" applyFont="1" applyFill="1" applyBorder="1" applyAlignment="1" applyProtection="1">
      <alignment horizontal="left"/>
      <protection hidden="1"/>
    </xf>
    <xf numFmtId="0" fontId="2" fillId="2" borderId="9" xfId="0" quotePrefix="1" applyFont="1" applyFill="1" applyBorder="1" applyAlignment="1" applyProtection="1">
      <alignment horizontal="left"/>
      <protection hidden="1"/>
    </xf>
    <xf numFmtId="0" fontId="2" fillId="2" borderId="11" xfId="0" quotePrefix="1" applyFont="1" applyFill="1" applyBorder="1" applyAlignment="1" applyProtection="1">
      <alignment horizontal="center"/>
      <protection hidden="1"/>
    </xf>
    <xf numFmtId="0" fontId="2" fillId="2" borderId="11" xfId="0" quotePrefix="1" applyFont="1" applyFill="1" applyBorder="1" applyAlignment="1" applyProtection="1">
      <alignment horizontal="left"/>
      <protection hidden="1"/>
    </xf>
    <xf numFmtId="3" fontId="4" fillId="3" borderId="10" xfId="3" quotePrefix="1" applyNumberFormat="1" applyFont="1" applyFill="1" applyBorder="1" applyAlignment="1" applyProtection="1">
      <alignment horizontal="left" vertical="center" wrapText="1"/>
      <protection hidden="1"/>
    </xf>
    <xf numFmtId="3" fontId="4" fillId="3" borderId="14" xfId="3" quotePrefix="1" applyNumberFormat="1" applyFont="1" applyFill="1" applyBorder="1" applyAlignment="1" applyProtection="1">
      <alignment horizontal="left" vertical="center" wrapText="1"/>
      <protection hidden="1"/>
    </xf>
    <xf numFmtId="3" fontId="4" fillId="3" borderId="15" xfId="3" quotePrefix="1" applyNumberFormat="1" applyFont="1" applyFill="1" applyBorder="1" applyAlignment="1" applyProtection="1">
      <alignment horizontal="left" vertical="center" wrapText="1"/>
      <protection hidden="1"/>
    </xf>
    <xf numFmtId="0" fontId="2" fillId="2" borderId="11" xfId="0" applyFont="1" applyFill="1" applyBorder="1" applyAlignment="1">
      <alignment horizontal="right"/>
    </xf>
    <xf numFmtId="0" fontId="2" fillId="2" borderId="13" xfId="0" applyFont="1" applyFill="1" applyBorder="1" applyAlignment="1">
      <alignment horizontal="right"/>
    </xf>
    <xf numFmtId="0" fontId="2" fillId="2" borderId="11" xfId="0" quotePrefix="1" applyFont="1" applyFill="1" applyBorder="1" applyAlignment="1">
      <alignment horizontal="left"/>
    </xf>
    <xf numFmtId="0" fontId="2" fillId="2" borderId="13" xfId="0" applyFont="1" applyFill="1" applyBorder="1"/>
    <xf numFmtId="0" fontId="2" fillId="2" borderId="9" xfId="0" applyFont="1" applyFill="1" applyBorder="1"/>
    <xf numFmtId="0" fontId="2" fillId="2" borderId="11" xfId="0" applyFont="1" applyFill="1" applyBorder="1"/>
    <xf numFmtId="0" fontId="1" fillId="2" borderId="11" xfId="0" quotePrefix="1" applyFont="1" applyFill="1" applyBorder="1" applyAlignment="1">
      <alignment horizontal="left"/>
    </xf>
    <xf numFmtId="0" fontId="1" fillId="2" borderId="9" xfId="0" applyFont="1" applyFill="1" applyBorder="1"/>
    <xf numFmtId="0" fontId="1" fillId="2" borderId="11" xfId="0" applyFont="1" applyFill="1" applyBorder="1"/>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9" xfId="0" quotePrefix="1" applyFont="1" applyFill="1" applyBorder="1" applyAlignment="1">
      <alignment horizontal="left"/>
    </xf>
    <xf numFmtId="0" fontId="1" fillId="2" borderId="9" xfId="0" quotePrefix="1"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6" xfId="0" applyFont="1" applyFill="1" applyBorder="1" applyAlignment="1">
      <alignment horizontal="left"/>
    </xf>
    <xf numFmtId="0" fontId="1" fillId="2" borderId="11" xfId="0" quotePrefix="1" applyFont="1" applyFill="1" applyBorder="1" applyAlignment="1">
      <alignment horizontal="left" wrapText="1"/>
    </xf>
    <xf numFmtId="0" fontId="1" fillId="2" borderId="13" xfId="0" quotePrefix="1" applyFont="1" applyFill="1" applyBorder="1" applyAlignment="1">
      <alignment horizontal="left" wrapText="1"/>
    </xf>
    <xf numFmtId="0" fontId="1" fillId="2" borderId="9" xfId="0" quotePrefix="1" applyFont="1" applyFill="1" applyBorder="1" applyAlignment="1">
      <alignment horizontal="left" wrapText="1"/>
    </xf>
    <xf numFmtId="43" fontId="1" fillId="3" borderId="11" xfId="3" applyFont="1" applyFill="1" applyBorder="1" applyAlignment="1" applyProtection="1"/>
    <xf numFmtId="43" fontId="1" fillId="3" borderId="9" xfId="3" applyFont="1" applyFill="1" applyBorder="1" applyAlignment="1" applyProtection="1"/>
    <xf numFmtId="0" fontId="2" fillId="2" borderId="11" xfId="0" quotePrefix="1" applyFont="1" applyFill="1" applyBorder="1" applyAlignment="1">
      <alignment horizontal="left" wrapText="1"/>
    </xf>
    <xf numFmtId="0" fontId="2" fillId="2" borderId="13" xfId="0" quotePrefix="1" applyFont="1" applyFill="1" applyBorder="1" applyAlignment="1">
      <alignment horizontal="left" wrapText="1"/>
    </xf>
    <xf numFmtId="0" fontId="2" fillId="2" borderId="9" xfId="0" quotePrefix="1" applyFont="1" applyFill="1" applyBorder="1" applyAlignment="1">
      <alignment horizontal="left" wrapText="1"/>
    </xf>
    <xf numFmtId="0" fontId="1" fillId="2" borderId="1" xfId="0" applyFont="1" applyFill="1" applyBorder="1" applyAlignment="1">
      <alignment horizontal="left"/>
    </xf>
    <xf numFmtId="0" fontId="1" fillId="2" borderId="1" xfId="0" quotePrefix="1" applyFont="1" applyFill="1" applyBorder="1" applyAlignment="1">
      <alignment horizontal="left"/>
    </xf>
    <xf numFmtId="0" fontId="1" fillId="2" borderId="7" xfId="0" applyFont="1" applyFill="1" applyBorder="1" applyAlignment="1">
      <alignment horizontal="left"/>
    </xf>
    <xf numFmtId="0" fontId="1" fillId="2" borderId="16" xfId="0" applyFont="1" applyFill="1" applyBorder="1" applyAlignment="1">
      <alignment horizontal="left"/>
    </xf>
    <xf numFmtId="0" fontId="1" fillId="2" borderId="8" xfId="0" applyFont="1" applyFill="1" applyBorder="1" applyAlignment="1">
      <alignment horizontal="left"/>
    </xf>
    <xf numFmtId="0" fontId="1" fillId="2" borderId="5" xfId="0" applyFont="1" applyFill="1" applyBorder="1" applyAlignment="1">
      <alignment horizontal="left"/>
    </xf>
    <xf numFmtId="0" fontId="1" fillId="2" borderId="0" xfId="0" applyFont="1" applyFill="1" applyAlignment="1">
      <alignment horizontal="left"/>
    </xf>
    <xf numFmtId="0" fontId="1" fillId="2" borderId="1" xfId="0" applyFont="1" applyFill="1" applyBorder="1"/>
    <xf numFmtId="0" fontId="17" fillId="6" borderId="0" xfId="2" applyFont="1" applyAlignment="1"/>
    <xf numFmtId="0" fontId="2" fillId="16" borderId="17" xfId="0" applyFont="1" applyFill="1" applyBorder="1" applyAlignment="1">
      <alignment horizontal="center" vertical="center"/>
    </xf>
    <xf numFmtId="0" fontId="2" fillId="16" borderId="18" xfId="0" applyFont="1" applyFill="1" applyBorder="1" applyAlignment="1">
      <alignment horizontal="center" vertical="center"/>
    </xf>
    <xf numFmtId="0" fontId="2" fillId="16" borderId="19" xfId="0" applyFont="1" applyFill="1" applyBorder="1" applyAlignment="1">
      <alignment horizontal="center" vertical="center"/>
    </xf>
  </cellXfs>
  <cellStyles count="8">
    <cellStyle name="60% - Accent1" xfId="1" builtinId="32"/>
    <cellStyle name="Accent1" xfId="2" builtinId="29"/>
    <cellStyle name="Comma" xfId="3" builtinId="3"/>
    <cellStyle name="Currency" xfId="4" builtinId="4"/>
    <cellStyle name="Hyperlink" xfId="5" builtinId="8"/>
    <cellStyle name="Normal" xfId="0" builtinId="0"/>
    <cellStyle name="Normal 2" xfId="6" xr:uid="{00000000-0005-0000-0000-000006000000}"/>
    <cellStyle name="Percent" xfId="7" builtinId="5"/>
  </cellStyles>
  <dxfs count="9">
    <dxf>
      <fill>
        <patternFill>
          <bgColor indexed="10"/>
        </patternFill>
      </fill>
    </dxf>
    <dxf>
      <font>
        <b/>
        <i val="0"/>
        <condense val="0"/>
        <extend val="0"/>
        <color indexed="9"/>
      </font>
      <fill>
        <patternFill>
          <bgColor indexed="57"/>
        </patternFill>
      </fill>
    </dxf>
    <dxf>
      <font>
        <b/>
        <i val="0"/>
        <color rgb="FFFFFF00"/>
      </font>
      <fill>
        <patternFill>
          <bgColor rgb="FFFF0000"/>
        </patternFill>
      </fill>
    </dxf>
    <dxf>
      <font>
        <b/>
        <i val="0"/>
        <color rgb="FFFFFF00"/>
      </font>
      <fill>
        <patternFill>
          <bgColor rgb="FF00B050"/>
        </patternFill>
      </fill>
    </dxf>
    <dxf>
      <fill>
        <patternFill>
          <bgColor indexed="10"/>
        </patternFill>
      </fill>
    </dxf>
    <dxf>
      <font>
        <b/>
        <i val="0"/>
        <condense val="0"/>
        <extend val="0"/>
        <color indexed="9"/>
      </font>
      <fill>
        <patternFill>
          <bgColor indexed="57"/>
        </patternFill>
      </fill>
    </dxf>
    <dxf>
      <font>
        <b/>
        <i val="0"/>
        <color theme="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301466</xdr:colOff>
      <xdr:row>1</xdr:row>
      <xdr:rowOff>339088</xdr:rowOff>
    </xdr:to>
    <xdr:pic>
      <xdr:nvPicPr>
        <xdr:cNvPr id="4" name="image1.jpe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47625" y="71437"/>
          <a:ext cx="2964656" cy="642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2</xdr:col>
      <xdr:colOff>228600</xdr:colOff>
      <xdr:row>1</xdr:row>
      <xdr:rowOff>304800</xdr:rowOff>
    </xdr:to>
    <xdr:pic>
      <xdr:nvPicPr>
        <xdr:cNvPr id="7207" name="Picture 1" descr="CFCU_CU_logo.JPG">
          <a:extLst>
            <a:ext uri="{FF2B5EF4-FFF2-40B4-BE49-F238E27FC236}">
              <a16:creationId xmlns:a16="http://schemas.microsoft.com/office/drawing/2014/main" id="{00000000-0008-0000-0200-000027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8100"/>
          <a:ext cx="27527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619125</xdr:colOff>
          <xdr:row>2</xdr:row>
          <xdr:rowOff>28575</xdr:rowOff>
        </xdr:from>
        <xdr:to>
          <xdr:col>5</xdr:col>
          <xdr:colOff>904875</xdr:colOff>
          <xdr:row>4</xdr:row>
          <xdr:rowOff>123825</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00"/>
                  </a:solidFill>
                  <a:latin typeface="Arial"/>
                  <a:cs typeface="Arial"/>
                </a:rPr>
                <a:t>Print /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76200</xdr:colOff>
          <xdr:row>2</xdr:row>
          <xdr:rowOff>28575</xdr:rowOff>
        </xdr:from>
        <xdr:to>
          <xdr:col>4</xdr:col>
          <xdr:colOff>238125</xdr:colOff>
          <xdr:row>4</xdr:row>
          <xdr:rowOff>123825</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00"/>
                  </a:solidFill>
                  <a:latin typeface="Arial"/>
                  <a:cs typeface="Arial"/>
                </a:rPr>
                <a:t>Zoom / 100%</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melbourneinstitute.com/miaesr/publications/indicators/poverty-lines-australi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59999389629810485"/>
    <pageSetUpPr fitToPage="1"/>
  </sheetPr>
  <dimension ref="A1:IV106"/>
  <sheetViews>
    <sheetView showGridLines="0" zoomScaleNormal="79" workbookViewId="0">
      <pane ySplit="2" topLeftCell="A27" activePane="bottomLeft" state="frozen"/>
      <selection pane="bottomLeft" activeCell="B44" sqref="B44:F44"/>
    </sheetView>
  </sheetViews>
  <sheetFormatPr defaultColWidth="9.140625" defaultRowHeight="12.75" x14ac:dyDescent="0.2"/>
  <cols>
    <col min="1" max="1" width="29.42578125" style="4" customWidth="1"/>
    <col min="2" max="2" width="20.5703125" style="53" customWidth="1"/>
    <col min="3" max="3" width="20.5703125" style="4" customWidth="1"/>
    <col min="4" max="4" width="20.42578125" style="4" customWidth="1"/>
    <col min="5" max="5" width="20.5703125" style="4" customWidth="1"/>
    <col min="6" max="6" width="34.42578125" style="4" customWidth="1"/>
    <col min="7" max="7" width="1.140625" style="4" customWidth="1"/>
    <col min="8" max="16384" width="9.140625" style="4"/>
  </cols>
  <sheetData>
    <row r="1" spans="1:6" ht="15.75" x14ac:dyDescent="0.2">
      <c r="A1" s="358" t="s">
        <v>0</v>
      </c>
      <c r="B1" s="359"/>
      <c r="C1" s="359"/>
      <c r="D1" s="359"/>
      <c r="E1" s="359"/>
      <c r="F1" s="50" t="str">
        <f>Main!J1</f>
        <v>CFCU V13.19 - Dec 25</v>
      </c>
    </row>
    <row r="2" spans="1:6" ht="15.75" x14ac:dyDescent="0.25">
      <c r="A2" s="360"/>
      <c r="B2" s="361"/>
      <c r="C2" s="361"/>
      <c r="D2" s="361"/>
      <c r="E2" s="361"/>
      <c r="F2" s="362"/>
    </row>
    <row r="3" spans="1:6" s="6" customFormat="1" ht="15" x14ac:dyDescent="0.2">
      <c r="A3" s="337" t="s">
        <v>1</v>
      </c>
      <c r="B3" s="338"/>
      <c r="C3" s="338"/>
      <c r="D3" s="338"/>
      <c r="E3" s="338"/>
      <c r="F3" s="339"/>
    </row>
    <row r="4" spans="1:6" s="6" customFormat="1" ht="3.95" customHeight="1" x14ac:dyDescent="0.2">
      <c r="A4" s="324"/>
      <c r="B4" s="325"/>
      <c r="C4" s="325"/>
      <c r="D4" s="325"/>
      <c r="E4" s="325"/>
      <c r="F4" s="326"/>
    </row>
    <row r="5" spans="1:6" s="6" customFormat="1" ht="15" x14ac:dyDescent="0.2">
      <c r="A5" s="51" t="s">
        <v>2</v>
      </c>
      <c r="B5" s="327" t="s">
        <v>3</v>
      </c>
      <c r="C5" s="327"/>
      <c r="D5" s="327"/>
      <c r="E5" s="327"/>
      <c r="F5" s="328"/>
    </row>
    <row r="6" spans="1:6" s="6" customFormat="1" ht="3.95" customHeight="1" x14ac:dyDescent="0.2">
      <c r="A6" s="324"/>
      <c r="B6" s="325"/>
      <c r="C6" s="325"/>
      <c r="D6" s="325"/>
      <c r="E6" s="325"/>
      <c r="F6" s="326"/>
    </row>
    <row r="7" spans="1:6" s="6" customFormat="1" ht="15" x14ac:dyDescent="0.2">
      <c r="A7" s="223" t="s">
        <v>4</v>
      </c>
      <c r="B7" s="319" t="s">
        <v>5</v>
      </c>
      <c r="C7" s="327"/>
      <c r="D7" s="327"/>
      <c r="E7" s="327"/>
      <c r="F7" s="328"/>
    </row>
    <row r="8" spans="1:6" s="6" customFormat="1" ht="3.95" customHeight="1" x14ac:dyDescent="0.2">
      <c r="A8" s="324"/>
      <c r="B8" s="325"/>
      <c r="C8" s="325"/>
      <c r="D8" s="325"/>
      <c r="E8" s="325"/>
      <c r="F8" s="326"/>
    </row>
    <row r="9" spans="1:6" s="6" customFormat="1" ht="15" x14ac:dyDescent="0.2">
      <c r="A9" s="223" t="s">
        <v>6</v>
      </c>
      <c r="B9" s="319" t="s">
        <v>7</v>
      </c>
      <c r="C9" s="327"/>
      <c r="D9" s="327"/>
      <c r="E9" s="327"/>
      <c r="F9" s="328"/>
    </row>
    <row r="10" spans="1:6" s="6" customFormat="1" ht="3.95" customHeight="1" x14ac:dyDescent="0.2">
      <c r="A10" s="324"/>
      <c r="B10" s="325"/>
      <c r="C10" s="325"/>
      <c r="D10" s="325"/>
      <c r="E10" s="325"/>
      <c r="F10" s="326"/>
    </row>
    <row r="11" spans="1:6" s="6" customFormat="1" ht="15" x14ac:dyDescent="0.2">
      <c r="A11" s="51" t="s">
        <v>8</v>
      </c>
      <c r="B11" s="319" t="s">
        <v>9</v>
      </c>
      <c r="C11" s="327"/>
      <c r="D11" s="327"/>
      <c r="E11" s="327"/>
      <c r="F11" s="328"/>
    </row>
    <row r="12" spans="1:6" s="6" customFormat="1" ht="3.95" customHeight="1" x14ac:dyDescent="0.2">
      <c r="A12" s="324"/>
      <c r="B12" s="325"/>
      <c r="C12" s="325"/>
      <c r="D12" s="325"/>
      <c r="E12" s="325"/>
      <c r="F12" s="326"/>
    </row>
    <row r="13" spans="1:6" s="6" customFormat="1" ht="15" x14ac:dyDescent="0.2">
      <c r="A13" s="130" t="s">
        <v>10</v>
      </c>
      <c r="B13" s="319" t="s">
        <v>11</v>
      </c>
      <c r="C13" s="327"/>
      <c r="D13" s="327"/>
      <c r="E13" s="327"/>
      <c r="F13" s="328"/>
    </row>
    <row r="14" spans="1:6" s="6" customFormat="1" ht="15" x14ac:dyDescent="0.2">
      <c r="A14" s="224"/>
      <c r="B14" s="327" t="s">
        <v>12</v>
      </c>
      <c r="C14" s="327"/>
      <c r="D14" s="327"/>
      <c r="E14" s="327"/>
      <c r="F14" s="328"/>
    </row>
    <row r="15" spans="1:6" s="6" customFormat="1" ht="3.95" customHeight="1" x14ac:dyDescent="0.2">
      <c r="A15" s="342"/>
      <c r="B15" s="343"/>
      <c r="C15" s="343"/>
      <c r="D15" s="343"/>
      <c r="E15" s="343"/>
      <c r="F15" s="344"/>
    </row>
    <row r="16" spans="1:6" s="6" customFormat="1" ht="3.95" customHeight="1" x14ac:dyDescent="0.2">
      <c r="A16" s="345"/>
      <c r="B16" s="346"/>
      <c r="C16" s="346"/>
      <c r="D16" s="346"/>
      <c r="E16" s="346"/>
      <c r="F16" s="347"/>
    </row>
    <row r="17" spans="1:6" ht="3.95" customHeight="1" x14ac:dyDescent="0.2">
      <c r="A17" s="355"/>
      <c r="B17" s="356"/>
      <c r="C17" s="356"/>
      <c r="D17" s="356"/>
      <c r="E17" s="356"/>
      <c r="F17" s="357"/>
    </row>
    <row r="18" spans="1:6" s="6" customFormat="1" ht="15" x14ac:dyDescent="0.2">
      <c r="A18" s="51" t="s">
        <v>13</v>
      </c>
      <c r="B18" s="319" t="s">
        <v>14</v>
      </c>
      <c r="C18" s="327"/>
      <c r="D18" s="327"/>
      <c r="E18" s="327"/>
      <c r="F18" s="328"/>
    </row>
    <row r="19" spans="1:6" s="6" customFormat="1" ht="3.95" customHeight="1" x14ac:dyDescent="0.2">
      <c r="A19" s="324"/>
      <c r="B19" s="325"/>
      <c r="C19" s="325"/>
      <c r="D19" s="325"/>
      <c r="E19" s="325"/>
      <c r="F19" s="326"/>
    </row>
    <row r="20" spans="1:6" s="133" customFormat="1" ht="29.45" customHeight="1" x14ac:dyDescent="0.2">
      <c r="A20" s="132" t="s">
        <v>15</v>
      </c>
      <c r="B20" s="348" t="s">
        <v>16</v>
      </c>
      <c r="C20" s="349"/>
      <c r="D20" s="349"/>
      <c r="E20" s="349"/>
      <c r="F20" s="350"/>
    </row>
    <row r="21" spans="1:6" s="6" customFormat="1" ht="15" x14ac:dyDescent="0.2">
      <c r="A21" s="324"/>
      <c r="B21" s="325"/>
      <c r="C21" s="325"/>
      <c r="D21" s="325"/>
      <c r="E21" s="325"/>
      <c r="F21" s="326"/>
    </row>
    <row r="22" spans="1:6" s="6" customFormat="1" ht="15" x14ac:dyDescent="0.2">
      <c r="A22" s="51" t="s">
        <v>17</v>
      </c>
      <c r="B22" s="318" t="s">
        <v>18</v>
      </c>
      <c r="C22" s="319"/>
      <c r="D22" s="319"/>
      <c r="E22" s="319"/>
      <c r="F22" s="320"/>
    </row>
    <row r="23" spans="1:6" s="6" customFormat="1" ht="15" x14ac:dyDescent="0.2">
      <c r="A23" s="51" t="s">
        <v>19</v>
      </c>
      <c r="B23" s="318" t="s">
        <v>20</v>
      </c>
      <c r="C23" s="319"/>
      <c r="D23" s="319"/>
      <c r="E23" s="319"/>
      <c r="F23" s="320"/>
    </row>
    <row r="24" spans="1:6" s="6" customFormat="1" ht="15" x14ac:dyDescent="0.2">
      <c r="A24" s="324"/>
      <c r="B24" s="325"/>
      <c r="C24" s="325"/>
      <c r="D24" s="325"/>
      <c r="E24" s="325"/>
      <c r="F24" s="326"/>
    </row>
    <row r="25" spans="1:6" s="6" customFormat="1" ht="15" customHeight="1" x14ac:dyDescent="0.2">
      <c r="A25" s="54" t="s">
        <v>21</v>
      </c>
      <c r="B25" s="351" t="s">
        <v>22</v>
      </c>
      <c r="C25" s="352"/>
      <c r="D25" s="352"/>
      <c r="E25" s="352"/>
      <c r="F25" s="353"/>
    </row>
    <row r="26" spans="1:6" s="6" customFormat="1" ht="15" x14ac:dyDescent="0.2">
      <c r="A26" s="225"/>
      <c r="B26" s="354"/>
      <c r="C26" s="352"/>
      <c r="D26" s="352"/>
      <c r="E26" s="352"/>
      <c r="F26" s="353"/>
    </row>
    <row r="27" spans="1:6" s="6" customFormat="1" ht="15" x14ac:dyDescent="0.2">
      <c r="A27" s="224"/>
      <c r="B27" s="354"/>
      <c r="C27" s="352"/>
      <c r="D27" s="352"/>
      <c r="E27" s="352"/>
      <c r="F27" s="353"/>
    </row>
    <row r="28" spans="1:6" s="6" customFormat="1" ht="15" x14ac:dyDescent="0.2">
      <c r="A28" s="324"/>
      <c r="B28" s="325"/>
      <c r="C28" s="325"/>
      <c r="D28" s="325"/>
      <c r="E28" s="325"/>
      <c r="F28" s="326"/>
    </row>
    <row r="29" spans="1:6" s="6" customFormat="1" ht="15" x14ac:dyDescent="0.2">
      <c r="A29" s="130" t="s">
        <v>23</v>
      </c>
      <c r="B29" s="327" t="s">
        <v>24</v>
      </c>
      <c r="C29" s="327"/>
      <c r="D29" s="327"/>
      <c r="E29" s="327"/>
      <c r="F29" s="328"/>
    </row>
    <row r="30" spans="1:6" s="6" customFormat="1" ht="15" x14ac:dyDescent="0.2">
      <c r="A30" s="224"/>
      <c r="B30" s="327" t="s">
        <v>25</v>
      </c>
      <c r="C30" s="327"/>
      <c r="D30" s="327"/>
      <c r="E30" s="327"/>
      <c r="F30" s="328"/>
    </row>
    <row r="31" spans="1:6" s="6" customFormat="1" ht="15" x14ac:dyDescent="0.2">
      <c r="A31" s="324"/>
      <c r="B31" s="325"/>
      <c r="C31" s="325"/>
      <c r="D31" s="325"/>
      <c r="E31" s="325"/>
      <c r="F31" s="326"/>
    </row>
    <row r="32" spans="1:6" s="6" customFormat="1" ht="15" x14ac:dyDescent="0.2">
      <c r="A32" s="337" t="s">
        <v>26</v>
      </c>
      <c r="B32" s="338"/>
      <c r="C32" s="338"/>
      <c r="D32" s="338"/>
      <c r="E32" s="338"/>
      <c r="F32" s="339"/>
    </row>
    <row r="33" spans="1:256" s="6" customFormat="1" ht="15" x14ac:dyDescent="0.2">
      <c r="A33" s="324"/>
      <c r="B33" s="325"/>
      <c r="C33" s="325"/>
      <c r="D33" s="325"/>
      <c r="E33" s="325"/>
      <c r="F33" s="326"/>
    </row>
    <row r="34" spans="1:256" s="6" customFormat="1" ht="15" x14ac:dyDescent="0.2">
      <c r="A34" s="51" t="s">
        <v>27</v>
      </c>
      <c r="B34" s="319" t="s">
        <v>28</v>
      </c>
      <c r="C34" s="327"/>
      <c r="D34" s="327"/>
      <c r="E34" s="327"/>
      <c r="F34" s="328"/>
    </row>
    <row r="35" spans="1:256" s="6" customFormat="1" ht="15" x14ac:dyDescent="0.2">
      <c r="A35" s="23"/>
      <c r="B35" s="319" t="s">
        <v>29</v>
      </c>
      <c r="C35" s="327"/>
      <c r="D35" s="327"/>
      <c r="E35" s="327"/>
      <c r="F35" s="328"/>
    </row>
    <row r="36" spans="1:256" s="6" customFormat="1" ht="15" x14ac:dyDescent="0.2">
      <c r="A36" s="324"/>
      <c r="B36" s="325"/>
      <c r="C36" s="325"/>
      <c r="D36" s="325"/>
      <c r="E36" s="325"/>
      <c r="F36" s="326"/>
    </row>
    <row r="37" spans="1:256" s="6" customFormat="1" ht="15" x14ac:dyDescent="0.2">
      <c r="A37" s="223" t="s">
        <v>30</v>
      </c>
      <c r="B37" s="319" t="s">
        <v>31</v>
      </c>
      <c r="C37" s="327"/>
      <c r="D37" s="327"/>
      <c r="E37" s="327"/>
      <c r="F37" s="328"/>
    </row>
    <row r="38" spans="1:256" s="6" customFormat="1" ht="15" x14ac:dyDescent="0.2">
      <c r="A38" s="23"/>
      <c r="B38" s="319" t="s">
        <v>32</v>
      </c>
      <c r="C38" s="327"/>
      <c r="D38" s="327"/>
      <c r="E38" s="327"/>
      <c r="F38" s="328"/>
    </row>
    <row r="39" spans="1:256" s="6" customFormat="1" ht="15" x14ac:dyDescent="0.2">
      <c r="A39" s="23"/>
      <c r="B39" s="319" t="s">
        <v>33</v>
      </c>
      <c r="C39" s="327"/>
      <c r="D39" s="327"/>
      <c r="E39" s="327"/>
      <c r="F39" s="328"/>
    </row>
    <row r="40" spans="1:256" s="6" customFormat="1" ht="15" x14ac:dyDescent="0.2">
      <c r="A40" s="23"/>
      <c r="B40" s="319" t="s">
        <v>34</v>
      </c>
      <c r="C40" s="327"/>
      <c r="D40" s="327"/>
      <c r="E40" s="327"/>
      <c r="F40" s="328"/>
    </row>
    <row r="41" spans="1:256" s="6" customFormat="1" ht="15" x14ac:dyDescent="0.2">
      <c r="A41" s="342"/>
      <c r="B41" s="343"/>
      <c r="C41" s="343"/>
      <c r="D41" s="343"/>
      <c r="E41" s="343"/>
      <c r="F41" s="344"/>
    </row>
    <row r="42" spans="1:256" s="6" customFormat="1" ht="15" x14ac:dyDescent="0.2">
      <c r="A42" s="337" t="s">
        <v>35</v>
      </c>
      <c r="B42" s="338"/>
      <c r="C42" s="338"/>
      <c r="D42" s="338"/>
      <c r="E42" s="338"/>
      <c r="F42" s="339"/>
    </row>
    <row r="43" spans="1:256" s="6" customFormat="1" ht="15" x14ac:dyDescent="0.2">
      <c r="A43" s="345"/>
      <c r="B43" s="346"/>
      <c r="C43" s="346"/>
      <c r="D43" s="346"/>
      <c r="E43" s="346"/>
      <c r="F43" s="347"/>
    </row>
    <row r="44" spans="1:256" s="6" customFormat="1" ht="15" x14ac:dyDescent="0.2">
      <c r="A44" s="51" t="s">
        <v>36</v>
      </c>
      <c r="B44" s="319" t="s">
        <v>37</v>
      </c>
      <c r="C44" s="327"/>
      <c r="D44" s="327"/>
      <c r="E44" s="327"/>
      <c r="F44" s="328"/>
    </row>
    <row r="45" spans="1:256" s="6" customFormat="1" ht="15" x14ac:dyDescent="0.2">
      <c r="A45" s="324"/>
      <c r="B45" s="325"/>
      <c r="C45" s="325"/>
      <c r="D45" s="325"/>
      <c r="E45" s="325"/>
      <c r="F45" s="326"/>
    </row>
    <row r="46" spans="1:256" s="6" customFormat="1" ht="15" x14ac:dyDescent="0.2">
      <c r="A46" s="51" t="s">
        <v>38</v>
      </c>
      <c r="B46" s="319" t="s">
        <v>39</v>
      </c>
      <c r="C46" s="327"/>
      <c r="D46" s="327"/>
      <c r="E46" s="327"/>
      <c r="F46" s="328"/>
    </row>
    <row r="47" spans="1:256" s="7" customFormat="1" x14ac:dyDescent="0.2">
      <c r="A47" s="324"/>
      <c r="B47" s="325"/>
      <c r="C47" s="325"/>
      <c r="D47" s="325"/>
      <c r="E47" s="325"/>
      <c r="F47" s="326"/>
      <c r="G47" s="325"/>
      <c r="H47" s="325"/>
      <c r="I47" s="325"/>
      <c r="J47" s="325"/>
      <c r="K47" s="325"/>
      <c r="L47" s="326"/>
      <c r="M47" s="324"/>
      <c r="N47" s="325"/>
      <c r="O47" s="325"/>
      <c r="P47" s="325"/>
      <c r="Q47" s="325"/>
      <c r="R47" s="326"/>
      <c r="S47" s="324"/>
      <c r="T47" s="325"/>
      <c r="U47" s="325"/>
      <c r="V47" s="325"/>
      <c r="W47" s="325"/>
      <c r="X47" s="326"/>
      <c r="Y47" s="324"/>
      <c r="Z47" s="325"/>
      <c r="AA47" s="325"/>
      <c r="AB47" s="325"/>
      <c r="AC47" s="325"/>
      <c r="AD47" s="326"/>
      <c r="AE47" s="324"/>
      <c r="AF47" s="325"/>
      <c r="AG47" s="325"/>
      <c r="AH47" s="325"/>
      <c r="AI47" s="325"/>
      <c r="AJ47" s="326"/>
      <c r="AK47" s="324"/>
      <c r="AL47" s="325"/>
      <c r="AM47" s="325"/>
      <c r="AN47" s="325"/>
      <c r="AO47" s="325"/>
      <c r="AP47" s="326"/>
      <c r="AQ47" s="324"/>
      <c r="AR47" s="325"/>
      <c r="AS47" s="325"/>
      <c r="AT47" s="325"/>
      <c r="AU47" s="325"/>
      <c r="AV47" s="326"/>
      <c r="AW47" s="324"/>
      <c r="AX47" s="325"/>
      <c r="AY47" s="325"/>
      <c r="AZ47" s="325"/>
      <c r="BA47" s="325"/>
      <c r="BB47" s="326"/>
      <c r="BC47" s="324"/>
      <c r="BD47" s="325"/>
      <c r="BE47" s="325"/>
      <c r="BF47" s="325"/>
      <c r="BG47" s="325"/>
      <c r="BH47" s="326"/>
      <c r="BI47" s="324"/>
      <c r="BJ47" s="325"/>
      <c r="BK47" s="325"/>
      <c r="BL47" s="325"/>
      <c r="BM47" s="325"/>
      <c r="BN47" s="326"/>
      <c r="BO47" s="324"/>
      <c r="BP47" s="325"/>
      <c r="BQ47" s="325"/>
      <c r="BR47" s="325"/>
      <c r="BS47" s="325"/>
      <c r="BT47" s="326"/>
      <c r="BU47" s="324"/>
      <c r="BV47" s="325"/>
      <c r="BW47" s="325"/>
      <c r="BX47" s="325"/>
      <c r="BY47" s="325"/>
      <c r="BZ47" s="326"/>
      <c r="CA47" s="324"/>
      <c r="CB47" s="325"/>
      <c r="CC47" s="325"/>
      <c r="CD47" s="325"/>
      <c r="CE47" s="325"/>
      <c r="CF47" s="326"/>
      <c r="CG47" s="324"/>
      <c r="CH47" s="325"/>
      <c r="CI47" s="325"/>
      <c r="CJ47" s="325"/>
      <c r="CK47" s="325"/>
      <c r="CL47" s="326"/>
      <c r="CM47" s="324"/>
      <c r="CN47" s="325"/>
      <c r="CO47" s="325"/>
      <c r="CP47" s="325"/>
      <c r="CQ47" s="325"/>
      <c r="CR47" s="326"/>
      <c r="CS47" s="324"/>
      <c r="CT47" s="325"/>
      <c r="CU47" s="325"/>
      <c r="CV47" s="325"/>
      <c r="CW47" s="325"/>
      <c r="CX47" s="326"/>
      <c r="CY47" s="324"/>
      <c r="CZ47" s="325"/>
      <c r="DA47" s="325"/>
      <c r="DB47" s="325"/>
      <c r="DC47" s="325"/>
      <c r="DD47" s="326"/>
      <c r="DE47" s="324"/>
      <c r="DF47" s="325"/>
      <c r="DG47" s="325"/>
      <c r="DH47" s="325"/>
      <c r="DI47" s="325"/>
      <c r="DJ47" s="326"/>
      <c r="DK47" s="324"/>
      <c r="DL47" s="325"/>
      <c r="DM47" s="325"/>
      <c r="DN47" s="325"/>
      <c r="DO47" s="325"/>
      <c r="DP47" s="326"/>
      <c r="DQ47" s="324"/>
      <c r="DR47" s="325"/>
      <c r="DS47" s="325"/>
      <c r="DT47" s="325"/>
      <c r="DU47" s="325"/>
      <c r="DV47" s="326"/>
      <c r="DW47" s="324"/>
      <c r="DX47" s="325"/>
      <c r="DY47" s="325"/>
      <c r="DZ47" s="325"/>
      <c r="EA47" s="325"/>
      <c r="EB47" s="326"/>
      <c r="EC47" s="324"/>
      <c r="ED47" s="325"/>
      <c r="EE47" s="325"/>
      <c r="EF47" s="325"/>
      <c r="EG47" s="325"/>
      <c r="EH47" s="326"/>
      <c r="EI47" s="324"/>
      <c r="EJ47" s="325"/>
      <c r="EK47" s="325"/>
      <c r="EL47" s="325"/>
      <c r="EM47" s="325"/>
      <c r="EN47" s="326"/>
      <c r="EO47" s="324"/>
      <c r="EP47" s="325"/>
      <c r="EQ47" s="325"/>
      <c r="ER47" s="325"/>
      <c r="ES47" s="325"/>
      <c r="ET47" s="326"/>
      <c r="EU47" s="324"/>
      <c r="EV47" s="325"/>
      <c r="EW47" s="325"/>
      <c r="EX47" s="325"/>
      <c r="EY47" s="325"/>
      <c r="EZ47" s="326"/>
      <c r="FA47" s="324"/>
      <c r="FB47" s="325"/>
      <c r="FC47" s="325"/>
      <c r="FD47" s="325"/>
      <c r="FE47" s="325"/>
      <c r="FF47" s="326"/>
      <c r="FG47" s="324"/>
      <c r="FH47" s="325"/>
      <c r="FI47" s="325"/>
      <c r="FJ47" s="325"/>
      <c r="FK47" s="325"/>
      <c r="FL47" s="326"/>
      <c r="FM47" s="324"/>
      <c r="FN47" s="325"/>
      <c r="FO47" s="325"/>
      <c r="FP47" s="325"/>
      <c r="FQ47" s="325"/>
      <c r="FR47" s="326"/>
      <c r="FS47" s="324"/>
      <c r="FT47" s="325"/>
      <c r="FU47" s="325"/>
      <c r="FV47" s="325"/>
      <c r="FW47" s="325"/>
      <c r="FX47" s="326"/>
      <c r="FY47" s="324"/>
      <c r="FZ47" s="325"/>
      <c r="GA47" s="325"/>
      <c r="GB47" s="325"/>
      <c r="GC47" s="325"/>
      <c r="GD47" s="326"/>
      <c r="GE47" s="324"/>
      <c r="GF47" s="325"/>
      <c r="GG47" s="325"/>
      <c r="GH47" s="325"/>
      <c r="GI47" s="325"/>
      <c r="GJ47" s="326"/>
      <c r="GK47" s="324"/>
      <c r="GL47" s="325"/>
      <c r="GM47" s="325"/>
      <c r="GN47" s="325"/>
      <c r="GO47" s="325"/>
      <c r="GP47" s="326"/>
      <c r="GQ47" s="324"/>
      <c r="GR47" s="325"/>
      <c r="GS47" s="325"/>
      <c r="GT47" s="325"/>
      <c r="GU47" s="325"/>
      <c r="GV47" s="326"/>
      <c r="GW47" s="324"/>
      <c r="GX47" s="325"/>
      <c r="GY47" s="325"/>
      <c r="GZ47" s="325"/>
      <c r="HA47" s="325"/>
      <c r="HB47" s="326"/>
      <c r="HC47" s="324"/>
      <c r="HD47" s="325"/>
      <c r="HE47" s="325"/>
      <c r="HF47" s="325"/>
      <c r="HG47" s="325"/>
      <c r="HH47" s="326"/>
      <c r="HI47" s="324"/>
      <c r="HJ47" s="325"/>
      <c r="HK47" s="325"/>
      <c r="HL47" s="325"/>
      <c r="HM47" s="325"/>
      <c r="HN47" s="326"/>
      <c r="HO47" s="324"/>
      <c r="HP47" s="325"/>
      <c r="HQ47" s="325"/>
      <c r="HR47" s="325"/>
      <c r="HS47" s="325"/>
      <c r="HT47" s="326"/>
      <c r="HU47" s="324"/>
      <c r="HV47" s="325"/>
      <c r="HW47" s="325"/>
      <c r="HX47" s="325"/>
      <c r="HY47" s="325"/>
      <c r="HZ47" s="326"/>
      <c r="IA47" s="324"/>
      <c r="IB47" s="325"/>
      <c r="IC47" s="325"/>
      <c r="ID47" s="325"/>
      <c r="IE47" s="325"/>
      <c r="IF47" s="326"/>
      <c r="IG47" s="324"/>
      <c r="IH47" s="325"/>
      <c r="II47" s="325"/>
      <c r="IJ47" s="325"/>
      <c r="IK47" s="325"/>
      <c r="IL47" s="326"/>
      <c r="IM47" s="324"/>
      <c r="IN47" s="325"/>
      <c r="IO47" s="325"/>
      <c r="IP47" s="325"/>
      <c r="IQ47" s="325"/>
      <c r="IR47" s="326"/>
      <c r="IS47" s="324"/>
      <c r="IT47" s="325"/>
      <c r="IU47" s="325"/>
      <c r="IV47" s="325"/>
    </row>
    <row r="48" spans="1:256" s="6" customFormat="1" ht="15" x14ac:dyDescent="0.2">
      <c r="A48" s="51" t="s">
        <v>40</v>
      </c>
      <c r="B48" s="352" t="s">
        <v>41</v>
      </c>
      <c r="C48" s="352"/>
      <c r="D48" s="352"/>
      <c r="E48" s="352"/>
      <c r="F48" s="353"/>
    </row>
    <row r="49" spans="1:6" s="6" customFormat="1" ht="15" x14ac:dyDescent="0.2">
      <c r="A49" s="23"/>
      <c r="B49" s="352"/>
      <c r="C49" s="352"/>
      <c r="D49" s="352"/>
      <c r="E49" s="352"/>
      <c r="F49" s="353"/>
    </row>
    <row r="50" spans="1:6" s="6" customFormat="1" ht="15" x14ac:dyDescent="0.2">
      <c r="A50" s="51" t="s">
        <v>42</v>
      </c>
      <c r="B50" s="352" t="s">
        <v>43</v>
      </c>
      <c r="C50" s="352"/>
      <c r="D50" s="352"/>
      <c r="E50" s="352"/>
      <c r="F50" s="353"/>
    </row>
    <row r="51" spans="1:6" s="6" customFormat="1" ht="15" x14ac:dyDescent="0.2">
      <c r="A51" s="23"/>
      <c r="B51" s="352"/>
      <c r="C51" s="352"/>
      <c r="D51" s="352"/>
      <c r="E51" s="352"/>
      <c r="F51" s="353"/>
    </row>
    <row r="52" spans="1:6" s="6" customFormat="1" ht="15" x14ac:dyDescent="0.2">
      <c r="A52" s="51" t="s">
        <v>44</v>
      </c>
      <c r="B52" s="352" t="s">
        <v>45</v>
      </c>
      <c r="C52" s="352"/>
      <c r="D52" s="352"/>
      <c r="E52" s="352"/>
      <c r="F52" s="353"/>
    </row>
    <row r="53" spans="1:6" s="6" customFormat="1" ht="15" x14ac:dyDescent="0.2">
      <c r="A53" s="23"/>
      <c r="B53" s="352"/>
      <c r="C53" s="352"/>
      <c r="D53" s="352"/>
      <c r="E53" s="352"/>
      <c r="F53" s="353"/>
    </row>
    <row r="54" spans="1:6" s="6" customFormat="1" ht="15" x14ac:dyDescent="0.2">
      <c r="A54" s="324"/>
      <c r="B54" s="325"/>
      <c r="C54" s="325"/>
      <c r="D54" s="325"/>
      <c r="E54" s="325"/>
      <c r="F54" s="326"/>
    </row>
    <row r="55" spans="1:6" s="6" customFormat="1" ht="15" x14ac:dyDescent="0.2">
      <c r="A55" s="223" t="s">
        <v>46</v>
      </c>
      <c r="B55" s="319" t="s">
        <v>47</v>
      </c>
      <c r="C55" s="327"/>
      <c r="D55" s="327"/>
      <c r="E55" s="327"/>
      <c r="F55" s="328"/>
    </row>
    <row r="56" spans="1:6" s="6" customFormat="1" ht="15" x14ac:dyDescent="0.2">
      <c r="A56" s="23"/>
      <c r="B56" s="319" t="s">
        <v>48</v>
      </c>
      <c r="C56" s="327"/>
      <c r="D56" s="327"/>
      <c r="E56" s="327"/>
      <c r="F56" s="328"/>
    </row>
    <row r="57" spans="1:6" s="6" customFormat="1" ht="15" x14ac:dyDescent="0.2">
      <c r="A57" s="324"/>
      <c r="B57" s="325"/>
      <c r="C57" s="325"/>
      <c r="D57" s="325"/>
      <c r="E57" s="325"/>
      <c r="F57" s="326"/>
    </row>
    <row r="58" spans="1:6" s="6" customFormat="1" ht="15" x14ac:dyDescent="0.2">
      <c r="A58" s="51" t="s">
        <v>49</v>
      </c>
      <c r="B58" s="319" t="s">
        <v>50</v>
      </c>
      <c r="C58" s="327"/>
      <c r="D58" s="327"/>
      <c r="E58" s="327"/>
      <c r="F58" s="328"/>
    </row>
    <row r="59" spans="1:6" s="6" customFormat="1" ht="15" x14ac:dyDescent="0.2">
      <c r="A59" s="342"/>
      <c r="B59" s="343"/>
      <c r="C59" s="343"/>
      <c r="D59" s="343"/>
      <c r="E59" s="343"/>
      <c r="F59" s="344"/>
    </row>
    <row r="60" spans="1:6" s="6" customFormat="1" ht="15" x14ac:dyDescent="0.2">
      <c r="A60" s="337" t="s">
        <v>51</v>
      </c>
      <c r="B60" s="338"/>
      <c r="C60" s="338"/>
      <c r="D60" s="338"/>
      <c r="E60" s="338"/>
      <c r="F60" s="339"/>
    </row>
    <row r="61" spans="1:6" s="6" customFormat="1" ht="15" x14ac:dyDescent="0.2">
      <c r="A61" s="324"/>
      <c r="B61" s="325"/>
      <c r="C61" s="325"/>
      <c r="D61" s="325"/>
      <c r="E61" s="325"/>
      <c r="F61" s="326"/>
    </row>
    <row r="62" spans="1:6" s="6" customFormat="1" ht="15" x14ac:dyDescent="0.2">
      <c r="A62" s="223" t="s">
        <v>52</v>
      </c>
      <c r="B62" s="319" t="s">
        <v>53</v>
      </c>
      <c r="C62" s="327"/>
      <c r="D62" s="327"/>
      <c r="E62" s="327"/>
      <c r="F62" s="328"/>
    </row>
    <row r="63" spans="1:6" s="6" customFormat="1" ht="15" x14ac:dyDescent="0.2">
      <c r="A63" s="324"/>
      <c r="B63" s="325"/>
      <c r="C63" s="325"/>
      <c r="D63" s="325"/>
      <c r="E63" s="325"/>
      <c r="F63" s="326"/>
    </row>
    <row r="64" spans="1:6" s="6" customFormat="1" ht="15" x14ac:dyDescent="0.2">
      <c r="A64" s="223" t="s">
        <v>54</v>
      </c>
      <c r="B64" s="333" t="s">
        <v>55</v>
      </c>
      <c r="C64" s="327"/>
      <c r="D64" s="327"/>
      <c r="E64" s="327"/>
      <c r="F64" s="328"/>
    </row>
    <row r="65" spans="1:6" s="6" customFormat="1" ht="15" x14ac:dyDescent="0.2">
      <c r="A65" s="23"/>
      <c r="B65" s="340" t="s">
        <v>56</v>
      </c>
      <c r="C65" s="340"/>
      <c r="D65" s="340"/>
      <c r="E65" s="340"/>
      <c r="F65" s="341"/>
    </row>
    <row r="66" spans="1:6" s="6" customFormat="1" ht="15" x14ac:dyDescent="0.2">
      <c r="A66" s="23"/>
      <c r="B66" s="340" t="s">
        <v>57</v>
      </c>
      <c r="C66" s="340"/>
      <c r="D66" s="340"/>
      <c r="E66" s="340"/>
      <c r="F66" s="341"/>
    </row>
    <row r="67" spans="1:6" s="6" customFormat="1" ht="15" x14ac:dyDescent="0.2">
      <c r="A67" s="23"/>
      <c r="B67" s="340" t="s">
        <v>58</v>
      </c>
      <c r="C67" s="340"/>
      <c r="D67" s="340"/>
      <c r="E67" s="340"/>
      <c r="F67" s="341"/>
    </row>
    <row r="68" spans="1:6" s="6" customFormat="1" ht="15" x14ac:dyDescent="0.2">
      <c r="A68" s="324"/>
      <c r="B68" s="325"/>
      <c r="C68" s="325"/>
      <c r="D68" s="325"/>
      <c r="E68" s="325"/>
      <c r="F68" s="326"/>
    </row>
    <row r="69" spans="1:6" s="6" customFormat="1" ht="15" x14ac:dyDescent="0.2">
      <c r="A69" s="51" t="s">
        <v>59</v>
      </c>
      <c r="B69" s="327" t="s">
        <v>60</v>
      </c>
      <c r="C69" s="327"/>
      <c r="D69" s="327"/>
      <c r="E69" s="327"/>
      <c r="F69" s="328"/>
    </row>
    <row r="70" spans="1:6" s="6" customFormat="1" ht="15" x14ac:dyDescent="0.2">
      <c r="A70" s="334"/>
      <c r="B70" s="335"/>
      <c r="C70" s="335"/>
      <c r="D70" s="335"/>
      <c r="E70" s="335"/>
      <c r="F70" s="336"/>
    </row>
    <row r="71" spans="1:6" s="6" customFormat="1" ht="15" x14ac:dyDescent="0.2">
      <c r="A71" s="51" t="s">
        <v>61</v>
      </c>
      <c r="B71" s="327" t="s">
        <v>62</v>
      </c>
      <c r="C71" s="327"/>
      <c r="D71" s="327"/>
      <c r="E71" s="327"/>
      <c r="F71" s="328"/>
    </row>
    <row r="72" spans="1:6" s="6" customFormat="1" ht="15" x14ac:dyDescent="0.2">
      <c r="A72" s="334"/>
      <c r="B72" s="335"/>
      <c r="C72" s="335"/>
      <c r="D72" s="335"/>
      <c r="E72" s="335"/>
      <c r="F72" s="336"/>
    </row>
    <row r="73" spans="1:6" s="6" customFormat="1" ht="15" x14ac:dyDescent="0.2">
      <c r="A73" s="51" t="s">
        <v>63</v>
      </c>
      <c r="B73" s="327" t="s">
        <v>64</v>
      </c>
      <c r="C73" s="327"/>
      <c r="D73" s="327"/>
      <c r="E73" s="327"/>
      <c r="F73" s="328"/>
    </row>
    <row r="74" spans="1:6" s="6" customFormat="1" ht="15" x14ac:dyDescent="0.2">
      <c r="A74" s="334"/>
      <c r="B74" s="335"/>
      <c r="C74" s="335"/>
      <c r="D74" s="335"/>
      <c r="E74" s="335"/>
      <c r="F74" s="336"/>
    </row>
    <row r="75" spans="1:6" s="6" customFormat="1" ht="15" x14ac:dyDescent="0.2">
      <c r="A75" s="51" t="s">
        <v>65</v>
      </c>
      <c r="B75" s="327" t="s">
        <v>66</v>
      </c>
      <c r="C75" s="327"/>
      <c r="D75" s="327"/>
      <c r="E75" s="327"/>
      <c r="F75" s="328"/>
    </row>
    <row r="76" spans="1:6" s="6" customFormat="1" ht="15" x14ac:dyDescent="0.2">
      <c r="A76" s="334"/>
      <c r="B76" s="335"/>
      <c r="C76" s="335"/>
      <c r="D76" s="335"/>
      <c r="E76" s="335"/>
      <c r="F76" s="336"/>
    </row>
    <row r="77" spans="1:6" s="6" customFormat="1" ht="15" x14ac:dyDescent="0.2">
      <c r="A77" s="51" t="s">
        <v>67</v>
      </c>
      <c r="B77" s="327" t="s">
        <v>68</v>
      </c>
      <c r="C77" s="327"/>
      <c r="D77" s="327"/>
      <c r="E77" s="327"/>
      <c r="F77" s="328"/>
    </row>
    <row r="78" spans="1:6" s="6" customFormat="1" ht="15" x14ac:dyDescent="0.2">
      <c r="A78" s="324"/>
      <c r="B78" s="325"/>
      <c r="C78" s="325"/>
      <c r="D78" s="325"/>
      <c r="E78" s="325"/>
      <c r="F78" s="326"/>
    </row>
    <row r="79" spans="1:6" s="6" customFormat="1" ht="15" x14ac:dyDescent="0.2">
      <c r="A79" s="337" t="s">
        <v>26</v>
      </c>
      <c r="B79" s="338"/>
      <c r="C79" s="338"/>
      <c r="D79" s="338"/>
      <c r="E79" s="338"/>
      <c r="F79" s="339"/>
    </row>
    <row r="80" spans="1:6" s="6" customFormat="1" ht="15" x14ac:dyDescent="0.2">
      <c r="A80" s="324"/>
      <c r="B80" s="325"/>
      <c r="C80" s="325"/>
      <c r="D80" s="325"/>
      <c r="E80" s="325"/>
      <c r="F80" s="326"/>
    </row>
    <row r="81" spans="1:6" s="6" customFormat="1" ht="15" x14ac:dyDescent="0.2">
      <c r="A81" s="51" t="s">
        <v>69</v>
      </c>
      <c r="B81" s="327" t="s">
        <v>70</v>
      </c>
      <c r="C81" s="327"/>
      <c r="D81" s="327"/>
      <c r="E81" s="327"/>
      <c r="F81" s="328"/>
    </row>
    <row r="82" spans="1:6" s="6" customFormat="1" ht="15" x14ac:dyDescent="0.2">
      <c r="A82" s="226"/>
      <c r="B82" s="327"/>
      <c r="C82" s="327"/>
      <c r="D82" s="327"/>
      <c r="E82" s="327"/>
      <c r="F82" s="328"/>
    </row>
    <row r="83" spans="1:6" s="6" customFormat="1" ht="15" x14ac:dyDescent="0.2">
      <c r="A83" s="51" t="s">
        <v>71</v>
      </c>
      <c r="B83" s="318" t="s">
        <v>72</v>
      </c>
      <c r="C83" s="319"/>
      <c r="D83" s="319"/>
      <c r="E83" s="319"/>
      <c r="F83" s="320"/>
    </row>
    <row r="84" spans="1:6" s="6" customFormat="1" ht="15" x14ac:dyDescent="0.2">
      <c r="A84" s="324"/>
      <c r="B84" s="325"/>
      <c r="C84" s="325"/>
      <c r="D84" s="325"/>
      <c r="E84" s="325"/>
      <c r="F84" s="326"/>
    </row>
    <row r="85" spans="1:6" s="6" customFormat="1" ht="15" x14ac:dyDescent="0.2">
      <c r="A85" s="51" t="s">
        <v>73</v>
      </c>
      <c r="B85" s="333" t="s">
        <v>74</v>
      </c>
      <c r="C85" s="327"/>
      <c r="D85" s="327"/>
      <c r="E85" s="327"/>
      <c r="F85" s="328"/>
    </row>
    <row r="86" spans="1:6" s="6" customFormat="1" ht="15" x14ac:dyDescent="0.2">
      <c r="A86" s="324"/>
      <c r="B86" s="325"/>
      <c r="C86" s="325"/>
      <c r="D86" s="325"/>
      <c r="E86" s="325"/>
      <c r="F86" s="326"/>
    </row>
    <row r="87" spans="1:6" s="6" customFormat="1" ht="15" x14ac:dyDescent="0.2">
      <c r="A87" s="51" t="s">
        <v>75</v>
      </c>
      <c r="B87" s="318" t="s">
        <v>76</v>
      </c>
      <c r="C87" s="319"/>
      <c r="D87" s="319"/>
      <c r="E87" s="319"/>
      <c r="F87" s="320"/>
    </row>
    <row r="88" spans="1:6" s="6" customFormat="1" ht="15" x14ac:dyDescent="0.2">
      <c r="A88" s="324"/>
      <c r="B88" s="325"/>
      <c r="C88" s="325"/>
      <c r="D88" s="325"/>
      <c r="E88" s="325"/>
      <c r="F88" s="326"/>
    </row>
    <row r="89" spans="1:6" s="6" customFormat="1" ht="15" x14ac:dyDescent="0.2">
      <c r="A89" s="51" t="s">
        <v>77</v>
      </c>
      <c r="B89" s="319" t="s">
        <v>78</v>
      </c>
      <c r="C89" s="327"/>
      <c r="D89" s="327"/>
      <c r="E89" s="327"/>
      <c r="F89" s="328"/>
    </row>
    <row r="90" spans="1:6" s="6" customFormat="1" ht="15" x14ac:dyDescent="0.2">
      <c r="A90" s="324"/>
      <c r="B90" s="325"/>
      <c r="C90" s="325"/>
      <c r="D90" s="325"/>
      <c r="E90" s="325"/>
      <c r="F90" s="326"/>
    </row>
    <row r="91" spans="1:6" s="6" customFormat="1" ht="15" x14ac:dyDescent="0.2">
      <c r="A91" s="51" t="s">
        <v>79</v>
      </c>
      <c r="B91" s="319" t="s">
        <v>80</v>
      </c>
      <c r="C91" s="327"/>
      <c r="D91" s="327"/>
      <c r="E91" s="327"/>
      <c r="F91" s="328"/>
    </row>
    <row r="92" spans="1:6" s="6" customFormat="1" ht="15" x14ac:dyDescent="0.2">
      <c r="A92" s="52"/>
      <c r="B92" s="331" t="s">
        <v>81</v>
      </c>
      <c r="C92" s="331"/>
      <c r="D92" s="331"/>
      <c r="E92" s="331"/>
      <c r="F92" s="332"/>
    </row>
    <row r="93" spans="1:6" s="6" customFormat="1" ht="15" x14ac:dyDescent="0.2">
      <c r="A93" s="42"/>
      <c r="B93" s="331" t="s">
        <v>82</v>
      </c>
      <c r="C93" s="331"/>
      <c r="D93" s="331"/>
      <c r="E93" s="331"/>
      <c r="F93" s="332"/>
    </row>
    <row r="94" spans="1:6" s="6" customFormat="1" ht="15" x14ac:dyDescent="0.2">
      <c r="A94" s="52"/>
      <c r="B94" s="331" t="s">
        <v>83</v>
      </c>
      <c r="C94" s="331"/>
      <c r="D94" s="331"/>
      <c r="E94" s="331"/>
      <c r="F94" s="332"/>
    </row>
    <row r="95" spans="1:6" s="6" customFormat="1" ht="15" x14ac:dyDescent="0.2">
      <c r="A95" s="324"/>
      <c r="B95" s="325"/>
      <c r="C95" s="325"/>
      <c r="D95" s="325"/>
      <c r="E95" s="325"/>
      <c r="F95" s="326"/>
    </row>
    <row r="96" spans="1:6" s="6" customFormat="1" ht="15" x14ac:dyDescent="0.2">
      <c r="A96" s="44" t="s">
        <v>84</v>
      </c>
      <c r="B96" s="327" t="s">
        <v>85</v>
      </c>
      <c r="C96" s="327"/>
      <c r="D96" s="327"/>
      <c r="E96" s="327"/>
      <c r="F96" s="328"/>
    </row>
    <row r="97" spans="1:6" s="6" customFormat="1" ht="15" x14ac:dyDescent="0.2">
      <c r="A97" s="324"/>
      <c r="B97" s="325"/>
      <c r="C97" s="325"/>
      <c r="D97" s="325"/>
      <c r="E97" s="325"/>
      <c r="F97" s="326"/>
    </row>
    <row r="98" spans="1:6" s="6" customFormat="1" ht="15" x14ac:dyDescent="0.2">
      <c r="A98" s="51" t="s">
        <v>86</v>
      </c>
      <c r="B98" s="319" t="s">
        <v>87</v>
      </c>
      <c r="C98" s="329"/>
      <c r="D98" s="329"/>
      <c r="E98" s="329"/>
      <c r="F98" s="330"/>
    </row>
    <row r="99" spans="1:6" s="6" customFormat="1" ht="15" x14ac:dyDescent="0.2">
      <c r="A99" s="226"/>
      <c r="B99" s="327" t="s">
        <v>88</v>
      </c>
      <c r="C99" s="319"/>
      <c r="D99" s="319"/>
      <c r="E99" s="319"/>
      <c r="F99" s="320"/>
    </row>
    <row r="100" spans="1:6" s="6" customFormat="1" ht="15" x14ac:dyDescent="0.2">
      <c r="A100" s="226"/>
      <c r="B100" s="327" t="s">
        <v>89</v>
      </c>
      <c r="C100" s="319"/>
      <c r="D100" s="319"/>
      <c r="E100" s="319"/>
      <c r="F100" s="320"/>
    </row>
    <row r="101" spans="1:6" s="6" customFormat="1" ht="15" x14ac:dyDescent="0.2">
      <c r="A101" s="226"/>
      <c r="B101" s="327" t="s">
        <v>90</v>
      </c>
      <c r="C101" s="319"/>
      <c r="D101" s="319"/>
      <c r="E101" s="319"/>
      <c r="F101" s="320"/>
    </row>
    <row r="102" spans="1:6" s="6" customFormat="1" ht="15" x14ac:dyDescent="0.2">
      <c r="A102" s="226"/>
      <c r="B102" s="329" t="s">
        <v>91</v>
      </c>
      <c r="C102" s="329"/>
      <c r="D102" s="329"/>
      <c r="E102" s="329"/>
      <c r="F102" s="330"/>
    </row>
    <row r="103" spans="1:6" s="6" customFormat="1" ht="15" x14ac:dyDescent="0.2">
      <c r="A103" s="226"/>
      <c r="B103" s="319" t="s">
        <v>92</v>
      </c>
      <c r="C103" s="329"/>
      <c r="D103" s="329"/>
      <c r="E103" s="329"/>
      <c r="F103" s="330"/>
    </row>
    <row r="104" spans="1:6" s="6" customFormat="1" ht="15" x14ac:dyDescent="0.2">
      <c r="A104" s="23"/>
      <c r="B104" s="319" t="s">
        <v>93</v>
      </c>
      <c r="C104" s="329"/>
      <c r="D104" s="329"/>
      <c r="E104" s="329"/>
      <c r="F104" s="330"/>
    </row>
    <row r="105" spans="1:6" s="6" customFormat="1" ht="15" x14ac:dyDescent="0.2">
      <c r="A105" s="23"/>
      <c r="B105" s="319" t="s">
        <v>94</v>
      </c>
      <c r="C105" s="329"/>
      <c r="D105" s="329"/>
      <c r="E105" s="329"/>
      <c r="F105" s="330"/>
    </row>
    <row r="106" spans="1:6" s="6" customFormat="1" ht="15" x14ac:dyDescent="0.2">
      <c r="A106" s="321"/>
      <c r="B106" s="322"/>
      <c r="C106" s="322"/>
      <c r="D106" s="322"/>
      <c r="E106" s="322"/>
      <c r="F106" s="323"/>
    </row>
  </sheetData>
  <mergeCells count="143">
    <mergeCell ref="IS47:IV47"/>
    <mergeCell ref="A54:F54"/>
    <mergeCell ref="HU47:HZ47"/>
    <mergeCell ref="IA47:IF47"/>
    <mergeCell ref="IG47:IL47"/>
    <mergeCell ref="M47:R47"/>
    <mergeCell ref="FM47:FR47"/>
    <mergeCell ref="BO47:BT47"/>
    <mergeCell ref="BU47:BZ47"/>
    <mergeCell ref="CA47:CF47"/>
    <mergeCell ref="CG47:CL47"/>
    <mergeCell ref="EO47:ET47"/>
    <mergeCell ref="EU47:EZ47"/>
    <mergeCell ref="FA47:FF47"/>
    <mergeCell ref="FG47:FL47"/>
    <mergeCell ref="AE47:AJ47"/>
    <mergeCell ref="AK47:AP47"/>
    <mergeCell ref="AQ47:AV47"/>
    <mergeCell ref="AW47:BB47"/>
    <mergeCell ref="IM47:IR47"/>
    <mergeCell ref="GW47:HB47"/>
    <mergeCell ref="CM47:CR47"/>
    <mergeCell ref="CS47:CX47"/>
    <mergeCell ref="CY47:DD47"/>
    <mergeCell ref="HI47:HN47"/>
    <mergeCell ref="HO47:HT47"/>
    <mergeCell ref="FY47:GD47"/>
    <mergeCell ref="GE47:GJ47"/>
    <mergeCell ref="GK47:GP47"/>
    <mergeCell ref="GQ47:GV47"/>
    <mergeCell ref="B46:F46"/>
    <mergeCell ref="A47:F47"/>
    <mergeCell ref="B48:F49"/>
    <mergeCell ref="BC47:BH47"/>
    <mergeCell ref="DE47:DJ47"/>
    <mergeCell ref="DK47:DP47"/>
    <mergeCell ref="DW47:EB47"/>
    <mergeCell ref="EC47:EH47"/>
    <mergeCell ref="EI47:EN47"/>
    <mergeCell ref="B69:F69"/>
    <mergeCell ref="HC47:HH47"/>
    <mergeCell ref="FS47:FX47"/>
    <mergeCell ref="A68:F68"/>
    <mergeCell ref="DQ47:DV47"/>
    <mergeCell ref="Y47:AD47"/>
    <mergeCell ref="A60:F60"/>
    <mergeCell ref="A61:F61"/>
    <mergeCell ref="B55:F55"/>
    <mergeCell ref="B65:F65"/>
    <mergeCell ref="B62:F62"/>
    <mergeCell ref="A63:F63"/>
    <mergeCell ref="G47:L47"/>
    <mergeCell ref="BI47:BN47"/>
    <mergeCell ref="S47:X47"/>
    <mergeCell ref="B50:F51"/>
    <mergeCell ref="B52:F53"/>
    <mergeCell ref="B64:F64"/>
    <mergeCell ref="A10:F10"/>
    <mergeCell ref="B13:F13"/>
    <mergeCell ref="B11:F11"/>
    <mergeCell ref="B25:F27"/>
    <mergeCell ref="B22:F22"/>
    <mergeCell ref="A21:F21"/>
    <mergeCell ref="A24:F24"/>
    <mergeCell ref="A17:F17"/>
    <mergeCell ref="A1:E1"/>
    <mergeCell ref="B9:F9"/>
    <mergeCell ref="A12:F12"/>
    <mergeCell ref="A8:F8"/>
    <mergeCell ref="A2:F2"/>
    <mergeCell ref="B5:F5"/>
    <mergeCell ref="A4:F4"/>
    <mergeCell ref="A3:F3"/>
    <mergeCell ref="B7:F7"/>
    <mergeCell ref="A6:F6"/>
    <mergeCell ref="B37:F37"/>
    <mergeCell ref="B14:F14"/>
    <mergeCell ref="A43:F43"/>
    <mergeCell ref="A15:F15"/>
    <mergeCell ref="A16:F16"/>
    <mergeCell ref="A32:F32"/>
    <mergeCell ref="B40:F40"/>
    <mergeCell ref="A19:F19"/>
    <mergeCell ref="B23:F23"/>
    <mergeCell ref="B18:F18"/>
    <mergeCell ref="A36:F36"/>
    <mergeCell ref="B29:F29"/>
    <mergeCell ref="B30:F30"/>
    <mergeCell ref="A31:F31"/>
    <mergeCell ref="B20:F20"/>
    <mergeCell ref="A28:F28"/>
    <mergeCell ref="A33:F33"/>
    <mergeCell ref="B35:F35"/>
    <mergeCell ref="B34:F34"/>
    <mergeCell ref="A41:F41"/>
    <mergeCell ref="A76:F76"/>
    <mergeCell ref="B77:F77"/>
    <mergeCell ref="A86:F86"/>
    <mergeCell ref="A42:F42"/>
    <mergeCell ref="B38:F38"/>
    <mergeCell ref="B39:F39"/>
    <mergeCell ref="A45:F45"/>
    <mergeCell ref="B66:F66"/>
    <mergeCell ref="B58:F58"/>
    <mergeCell ref="B75:F75"/>
    <mergeCell ref="A78:F78"/>
    <mergeCell ref="A79:F79"/>
    <mergeCell ref="A80:F80"/>
    <mergeCell ref="B81:F81"/>
    <mergeCell ref="B73:F73"/>
    <mergeCell ref="A74:F74"/>
    <mergeCell ref="B71:F71"/>
    <mergeCell ref="A72:F72"/>
    <mergeCell ref="A70:F70"/>
    <mergeCell ref="B67:F67"/>
    <mergeCell ref="B56:F56"/>
    <mergeCell ref="A57:F57"/>
    <mergeCell ref="A59:F59"/>
    <mergeCell ref="B44:F44"/>
    <mergeCell ref="B87:F87"/>
    <mergeCell ref="A106:F106"/>
    <mergeCell ref="B83:F83"/>
    <mergeCell ref="A84:F84"/>
    <mergeCell ref="B82:F82"/>
    <mergeCell ref="B104:F104"/>
    <mergeCell ref="B99:F99"/>
    <mergeCell ref="B100:F100"/>
    <mergeCell ref="B101:F101"/>
    <mergeCell ref="B105:F105"/>
    <mergeCell ref="B103:F103"/>
    <mergeCell ref="A88:F88"/>
    <mergeCell ref="B98:F98"/>
    <mergeCell ref="B91:F91"/>
    <mergeCell ref="B89:F89"/>
    <mergeCell ref="A90:F90"/>
    <mergeCell ref="B96:F96"/>
    <mergeCell ref="A95:F95"/>
    <mergeCell ref="A97:F97"/>
    <mergeCell ref="B102:F102"/>
    <mergeCell ref="B93:F93"/>
    <mergeCell ref="B92:F92"/>
    <mergeCell ref="B94:F94"/>
    <mergeCell ref="B85:F85"/>
  </mergeCells>
  <phoneticPr fontId="0" type="noConversion"/>
  <printOptions horizontalCentered="1"/>
  <pageMargins left="0.15748031496062992" right="0.15748031496062992" top="0.24" bottom="0.26" header="0.19685039370078741" footer="0.17"/>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60"/>
  <sheetViews>
    <sheetView showGridLines="0" tabSelected="1" topLeftCell="A24" zoomScale="80" zoomScaleNormal="80" workbookViewId="0">
      <selection activeCell="D32" sqref="D32"/>
    </sheetView>
  </sheetViews>
  <sheetFormatPr defaultColWidth="0" defaultRowHeight="12.75" zeroHeight="1" x14ac:dyDescent="0.2"/>
  <cols>
    <col min="1" max="1" width="25.42578125" style="4" customWidth="1"/>
    <col min="2" max="3" width="15.42578125" style="4" customWidth="1"/>
    <col min="4" max="4" width="21.85546875" style="4" customWidth="1"/>
    <col min="5" max="5" width="19.28515625" style="4" customWidth="1"/>
    <col min="6" max="6" width="19.42578125" style="4" customWidth="1"/>
    <col min="7" max="9" width="18.5703125" style="4" customWidth="1"/>
    <col min="10" max="10" width="21.140625" style="4" customWidth="1"/>
    <col min="11" max="11" width="0.85546875" style="4" customWidth="1"/>
    <col min="12" max="16384" width="9.140625" style="4" hidden="1"/>
  </cols>
  <sheetData>
    <row r="1" spans="1:10" ht="30" customHeight="1" x14ac:dyDescent="0.2">
      <c r="A1" s="401"/>
      <c r="B1" s="75"/>
      <c r="C1" s="393" t="s">
        <v>95</v>
      </c>
      <c r="D1" s="393"/>
      <c r="E1" s="393"/>
      <c r="F1" s="393"/>
      <c r="G1" s="393"/>
      <c r="H1" s="393"/>
      <c r="I1" s="398"/>
      <c r="J1" s="388" t="s">
        <v>96</v>
      </c>
    </row>
    <row r="2" spans="1:10" ht="30" customHeight="1" x14ac:dyDescent="0.2">
      <c r="A2" s="402"/>
      <c r="B2" s="76"/>
      <c r="C2" s="394" t="s">
        <v>97</v>
      </c>
      <c r="D2" s="394"/>
      <c r="E2" s="394"/>
      <c r="F2" s="394"/>
      <c r="G2" s="394"/>
      <c r="H2" s="394"/>
      <c r="I2" s="399"/>
      <c r="J2" s="389"/>
    </row>
    <row r="3" spans="1:10" ht="3.95" customHeight="1" x14ac:dyDescent="0.2">
      <c r="A3" s="400"/>
      <c r="B3" s="391"/>
      <c r="C3" s="391"/>
      <c r="D3" s="391"/>
      <c r="E3" s="391"/>
      <c r="F3" s="391"/>
      <c r="G3" s="391"/>
      <c r="H3" s="391"/>
      <c r="I3" s="392"/>
    </row>
    <row r="4" spans="1:10" x14ac:dyDescent="0.2">
      <c r="A4" s="72" t="s">
        <v>13</v>
      </c>
      <c r="B4" s="395"/>
      <c r="C4" s="396"/>
      <c r="D4" s="396"/>
      <c r="E4" s="396"/>
      <c r="F4" s="397"/>
      <c r="G4" s="92"/>
      <c r="H4" s="92"/>
      <c r="I4" s="227">
        <f ca="1">NOW()</f>
        <v>46070.63029872685</v>
      </c>
      <c r="J4" s="228"/>
    </row>
    <row r="5" spans="1:10" ht="3.95" customHeight="1" x14ac:dyDescent="0.2">
      <c r="A5" s="390"/>
      <c r="B5" s="391"/>
      <c r="C5" s="391"/>
      <c r="D5" s="391"/>
      <c r="E5" s="391"/>
      <c r="F5" s="391"/>
      <c r="G5" s="391"/>
      <c r="H5" s="391"/>
      <c r="I5" s="392"/>
    </row>
    <row r="6" spans="1:10" x14ac:dyDescent="0.2">
      <c r="A6" s="72" t="s">
        <v>15</v>
      </c>
      <c r="B6" s="387" t="s">
        <v>98</v>
      </c>
      <c r="C6" s="387"/>
      <c r="D6" s="126"/>
      <c r="E6" s="162"/>
      <c r="F6" s="122"/>
      <c r="G6" s="127"/>
      <c r="H6" s="127"/>
      <c r="I6" s="229"/>
      <c r="J6" s="228"/>
    </row>
    <row r="7" spans="1:10" x14ac:dyDescent="0.2">
      <c r="A7" s="72" t="s">
        <v>99</v>
      </c>
      <c r="B7" s="185"/>
      <c r="C7" s="186"/>
      <c r="D7" s="186" t="s">
        <v>100</v>
      </c>
      <c r="E7" s="198" t="s">
        <v>101</v>
      </c>
      <c r="F7" s="120"/>
      <c r="G7" s="92"/>
      <c r="H7" s="92"/>
      <c r="I7" s="227"/>
      <c r="J7" s="228"/>
    </row>
    <row r="8" spans="1:10" x14ac:dyDescent="0.2">
      <c r="A8" s="72" t="s">
        <v>17</v>
      </c>
      <c r="B8" s="385">
        <v>700821</v>
      </c>
      <c r="C8" s="386"/>
      <c r="D8" s="187"/>
      <c r="E8" s="199"/>
      <c r="F8" s="120"/>
      <c r="G8" s="120"/>
      <c r="H8" s="120"/>
      <c r="I8" s="121"/>
    </row>
    <row r="9" spans="1:10" ht="12.95" customHeight="1" x14ac:dyDescent="0.2">
      <c r="A9" s="72" t="s">
        <v>19</v>
      </c>
      <c r="B9" s="385"/>
      <c r="C9" s="386"/>
      <c r="D9" s="187"/>
      <c r="E9" s="199"/>
      <c r="F9" s="163"/>
      <c r="G9" s="430" t="s">
        <v>102</v>
      </c>
      <c r="H9" s="430"/>
      <c r="I9" s="431"/>
    </row>
    <row r="10" spans="1:10" ht="12.95" customHeight="1" x14ac:dyDescent="0.2">
      <c r="A10" s="46" t="s">
        <v>103</v>
      </c>
      <c r="B10" s="385"/>
      <c r="C10" s="386"/>
      <c r="D10" s="187"/>
      <c r="E10" s="199"/>
      <c r="F10" s="163"/>
      <c r="G10" s="142"/>
      <c r="H10" s="142"/>
      <c r="I10" s="128"/>
    </row>
    <row r="11" spans="1:10" ht="12.95" customHeight="1" x14ac:dyDescent="0.2">
      <c r="A11" s="72" t="s">
        <v>104</v>
      </c>
      <c r="B11" s="383">
        <f>SUM(B8:C10)</f>
        <v>700821</v>
      </c>
      <c r="C11" s="384"/>
      <c r="D11" s="188">
        <f>SUM(D8:D10)</f>
        <v>0</v>
      </c>
      <c r="E11" s="191">
        <f>SUM(E8:F10)</f>
        <v>0</v>
      </c>
      <c r="F11" s="163"/>
      <c r="G11" s="430" t="s">
        <v>105</v>
      </c>
      <c r="H11" s="430"/>
      <c r="I11" s="431"/>
    </row>
    <row r="12" spans="1:10" x14ac:dyDescent="0.2">
      <c r="A12" s="72" t="s">
        <v>106</v>
      </c>
      <c r="B12" s="375">
        <v>5.0900000000000001E-2</v>
      </c>
      <c r="C12" s="376"/>
      <c r="D12" s="189"/>
      <c r="E12" s="200"/>
      <c r="F12" s="120"/>
      <c r="G12" s="120"/>
      <c r="H12" s="120"/>
      <c r="I12" s="121"/>
    </row>
    <row r="13" spans="1:10" x14ac:dyDescent="0.2">
      <c r="A13" s="72" t="s">
        <v>107</v>
      </c>
      <c r="B13" s="381" t="s">
        <v>108</v>
      </c>
      <c r="C13" s="382"/>
      <c r="D13" s="192"/>
      <c r="E13" s="201"/>
      <c r="F13" s="120"/>
      <c r="G13" s="120"/>
      <c r="H13" s="120"/>
      <c r="I13" s="121"/>
    </row>
    <row r="14" spans="1:10" x14ac:dyDescent="0.2">
      <c r="A14" s="46" t="s">
        <v>23</v>
      </c>
      <c r="B14" s="379">
        <v>360</v>
      </c>
      <c r="C14" s="380"/>
      <c r="D14" s="190">
        <v>360</v>
      </c>
      <c r="E14" s="202">
        <v>360</v>
      </c>
      <c r="F14" s="120"/>
      <c r="G14" s="120"/>
      <c r="H14" s="120"/>
      <c r="I14" s="121"/>
    </row>
    <row r="15" spans="1:10" x14ac:dyDescent="0.2">
      <c r="A15" s="72" t="s">
        <v>109</v>
      </c>
      <c r="B15" s="377">
        <f>B14/12</f>
        <v>30</v>
      </c>
      <c r="C15" s="378"/>
      <c r="D15" s="203">
        <f>D14/12</f>
        <v>30</v>
      </c>
      <c r="E15" s="204">
        <f>E14/12</f>
        <v>30</v>
      </c>
      <c r="F15" s="120"/>
      <c r="G15" s="120"/>
      <c r="H15" s="120"/>
      <c r="I15" s="121"/>
      <c r="J15" s="78"/>
    </row>
    <row r="16" spans="1:10" x14ac:dyDescent="0.2">
      <c r="A16" s="72" t="s">
        <v>110</v>
      </c>
      <c r="B16" s="383">
        <f>CalculationsReference!C11</f>
        <v>3801</v>
      </c>
      <c r="C16" s="384"/>
      <c r="D16" s="191">
        <f>CalculationsReference!C18</f>
        <v>0</v>
      </c>
      <c r="E16" s="191">
        <f>CalculationsReference!C25</f>
        <v>0</v>
      </c>
      <c r="F16" s="123"/>
      <c r="G16" s="123"/>
      <c r="H16" s="123"/>
      <c r="I16" s="124"/>
      <c r="J16" s="78"/>
    </row>
    <row r="17" spans="1:11" ht="3.95" customHeight="1" x14ac:dyDescent="0.2">
      <c r="A17" s="329"/>
      <c r="B17" s="329"/>
      <c r="C17" s="329"/>
      <c r="D17" s="329"/>
      <c r="E17" s="329"/>
      <c r="F17" s="329"/>
      <c r="G17" s="329"/>
      <c r="H17" s="329"/>
      <c r="I17" s="329"/>
      <c r="J17" s="30"/>
    </row>
    <row r="18" spans="1:11" x14ac:dyDescent="0.2">
      <c r="A18" s="427" t="s">
        <v>111</v>
      </c>
      <c r="B18" s="428"/>
      <c r="C18" s="428"/>
      <c r="D18" s="428"/>
      <c r="E18" s="428"/>
      <c r="F18" s="428"/>
      <c r="G18" s="428"/>
      <c r="H18" s="428"/>
      <c r="I18" s="429"/>
      <c r="J18" s="79"/>
    </row>
    <row r="19" spans="1:11" x14ac:dyDescent="0.2">
      <c r="A19" s="427" t="s">
        <v>112</v>
      </c>
      <c r="B19" s="428"/>
      <c r="C19" s="428"/>
      <c r="D19" s="428"/>
      <c r="E19" s="428"/>
      <c r="F19" s="85" t="s">
        <v>23</v>
      </c>
      <c r="G19" s="73" t="s">
        <v>113</v>
      </c>
      <c r="H19" s="419" t="s">
        <v>114</v>
      </c>
      <c r="I19" s="339"/>
      <c r="J19" s="71"/>
    </row>
    <row r="20" spans="1:11" ht="12.95" customHeight="1" x14ac:dyDescent="0.2">
      <c r="A20" s="363" t="s">
        <v>115</v>
      </c>
      <c r="B20" s="364"/>
      <c r="C20" s="364"/>
      <c r="D20" s="364"/>
      <c r="E20" s="364"/>
      <c r="F20" s="209">
        <v>360</v>
      </c>
      <c r="G20" s="32"/>
      <c r="H20" s="230">
        <f>-PMT(MAX(CalculationsReference!G9,CalculationsReference!G16,CalculationsReference!G23)/12,APRA_Mortgage_OO_Months,Other_Loans_OO_Amount)</f>
        <v>0</v>
      </c>
      <c r="I20" s="439" t="str">
        <f>+"Credit Card payments are based on"</f>
        <v>Credit Card payments are based on</v>
      </c>
      <c r="J20" s="78"/>
    </row>
    <row r="21" spans="1:11" ht="12.95" customHeight="1" x14ac:dyDescent="0.2">
      <c r="A21" s="434" t="s">
        <v>116</v>
      </c>
      <c r="B21" s="435"/>
      <c r="C21" s="435"/>
      <c r="D21" s="435"/>
      <c r="E21" s="435"/>
      <c r="F21" s="209">
        <v>300</v>
      </c>
      <c r="G21" s="32"/>
      <c r="H21" s="230">
        <f>-PMT(MAX(CalculationsReference!G9,CalculationsReference!G16,CalculationsReference!G23)/12,APRA_Mortgage_INV_Months,Other_Loans_Inv_Amount)</f>
        <v>0</v>
      </c>
      <c r="I21" s="438"/>
      <c r="J21" s="78"/>
    </row>
    <row r="22" spans="1:11" ht="12.75" customHeight="1" x14ac:dyDescent="0.2">
      <c r="A22" s="371" t="s">
        <v>40</v>
      </c>
      <c r="B22" s="372"/>
      <c r="C22" s="372"/>
      <c r="D22" s="372"/>
      <c r="E22" s="373"/>
      <c r="F22" s="374"/>
      <c r="G22" s="32">
        <v>0</v>
      </c>
      <c r="H22" s="231">
        <f>G22*Credit_Card_Monthly_Payment_Percent</f>
        <v>0</v>
      </c>
      <c r="I22" s="180" t="str">
        <f>+TEXT(Credit_Card_Monthly_Payment_Percent,"##0.0%")</f>
        <v>3.2%</v>
      </c>
      <c r="J22" s="78" t="s">
        <v>117</v>
      </c>
    </row>
    <row r="23" spans="1:11" x14ac:dyDescent="0.2">
      <c r="A23" s="365" t="s">
        <v>42</v>
      </c>
      <c r="B23" s="366"/>
      <c r="C23" s="366"/>
      <c r="D23" s="366"/>
      <c r="E23" s="366"/>
      <c r="F23" s="423"/>
      <c r="G23" s="32"/>
      <c r="H23" s="231">
        <f>G23*Credit_Card_Monthly_Payment_Percent_Amigo</f>
        <v>0</v>
      </c>
      <c r="I23" s="180" t="str">
        <f>+TEXT(Credit_Card_Monthly_Payment_Percent_Amigo,"##0.0%")</f>
        <v>3.5%</v>
      </c>
      <c r="J23" s="78" t="s">
        <v>118</v>
      </c>
    </row>
    <row r="24" spans="1:11" x14ac:dyDescent="0.2">
      <c r="A24" s="365" t="s">
        <v>44</v>
      </c>
      <c r="B24" s="366"/>
      <c r="C24" s="366"/>
      <c r="D24" s="366"/>
      <c r="E24" s="366"/>
      <c r="F24" s="423"/>
      <c r="G24" s="32"/>
      <c r="H24" s="231">
        <f>G24*Credit_Card_Monthly_Payment_Percent_OtherBanks</f>
        <v>0</v>
      </c>
      <c r="I24" s="180" t="str">
        <f>+TEXT(Credit_Card_Monthly_Payment_Percent_OtherBanks,"##0.00%")</f>
        <v>3.75%</v>
      </c>
      <c r="J24" s="78" t="s">
        <v>118</v>
      </c>
    </row>
    <row r="25" spans="1:11" x14ac:dyDescent="0.2">
      <c r="A25" s="131" t="s">
        <v>119</v>
      </c>
      <c r="B25" s="234"/>
      <c r="C25" s="234"/>
      <c r="D25" s="234"/>
      <c r="E25" s="232"/>
      <c r="F25" s="233"/>
      <c r="G25" s="32"/>
      <c r="H25" s="231">
        <f>G25*Secured_Credit_Monthly_Percent</f>
        <v>0</v>
      </c>
      <c r="I25" s="438" t="str">
        <f>+"of Credit Limit per month"</f>
        <v>of Credit Limit per month</v>
      </c>
      <c r="J25" s="78"/>
    </row>
    <row r="26" spans="1:11" x14ac:dyDescent="0.2">
      <c r="A26" s="220" t="s">
        <v>120</v>
      </c>
      <c r="B26" s="232"/>
      <c r="C26" s="232"/>
      <c r="D26" s="233"/>
      <c r="E26" s="369"/>
      <c r="F26" s="370"/>
      <c r="G26" s="32"/>
      <c r="H26" s="32">
        <v>0</v>
      </c>
      <c r="I26" s="438"/>
      <c r="J26" s="78"/>
    </row>
    <row r="27" spans="1:11" x14ac:dyDescent="0.2">
      <c r="A27" s="141" t="s">
        <v>121</v>
      </c>
      <c r="B27" s="232"/>
      <c r="C27" s="232"/>
      <c r="D27" s="233"/>
      <c r="E27" s="369"/>
      <c r="F27" s="370"/>
      <c r="G27" s="73"/>
      <c r="H27" s="32"/>
      <c r="I27" s="177"/>
      <c r="J27" s="78"/>
    </row>
    <row r="28" spans="1:11" x14ac:dyDescent="0.2">
      <c r="A28" s="436" t="s">
        <v>49</v>
      </c>
      <c r="B28" s="437"/>
      <c r="C28" s="437"/>
      <c r="D28" s="437"/>
      <c r="E28" s="366"/>
      <c r="F28" s="423"/>
      <c r="G28" s="231">
        <f>SUM(G20:G26)</f>
        <v>0</v>
      </c>
      <c r="H28" s="231">
        <f>SUM(H20:H27)</f>
        <v>0</v>
      </c>
      <c r="I28" s="178"/>
      <c r="J28" s="78"/>
    </row>
    <row r="29" spans="1:11" ht="3.95" customHeight="1" x14ac:dyDescent="0.2">
      <c r="A29" s="432"/>
      <c r="B29" s="432"/>
      <c r="C29" s="432"/>
      <c r="D29" s="432"/>
      <c r="E29" s="432"/>
      <c r="F29" s="432"/>
      <c r="G29" s="432"/>
      <c r="H29" s="432"/>
      <c r="I29" s="433"/>
      <c r="J29" s="30"/>
    </row>
    <row r="30" spans="1:11" ht="38.25" x14ac:dyDescent="0.2">
      <c r="A30" s="39" t="s">
        <v>122</v>
      </c>
      <c r="B30" s="80" t="s">
        <v>123</v>
      </c>
      <c r="C30" s="80" t="s">
        <v>124</v>
      </c>
      <c r="D30" s="80" t="s">
        <v>125</v>
      </c>
      <c r="E30" s="40" t="s">
        <v>126</v>
      </c>
      <c r="F30" s="40" t="s">
        <v>127</v>
      </c>
      <c r="G30" s="40" t="s">
        <v>128</v>
      </c>
      <c r="H30" s="40" t="s">
        <v>129</v>
      </c>
      <c r="I30" s="40" t="s">
        <v>130</v>
      </c>
      <c r="J30" s="80" t="s">
        <v>131</v>
      </c>
      <c r="K30" s="30"/>
    </row>
    <row r="31" spans="1:11" x14ac:dyDescent="0.2">
      <c r="A31" s="223" t="s">
        <v>132</v>
      </c>
      <c r="B31" s="32">
        <v>98000</v>
      </c>
      <c r="C31" s="119" t="s">
        <v>133</v>
      </c>
      <c r="D31" s="32">
        <v>0</v>
      </c>
      <c r="E31" s="231">
        <f>Applicant1_GAIncome</f>
        <v>98000</v>
      </c>
      <c r="F31" s="32">
        <v>0</v>
      </c>
      <c r="G31" s="231">
        <f>CalculationsReference!B40</f>
        <v>98000</v>
      </c>
      <c r="H31" s="231">
        <f>CalculationsReference!B56</f>
        <v>22148</v>
      </c>
      <c r="I31" s="231">
        <f>CalculationsReference!B57</f>
        <v>75852</v>
      </c>
      <c r="J31" s="231">
        <f>CalculationsReference!B$58</f>
        <v>6321</v>
      </c>
    </row>
    <row r="32" spans="1:11" x14ac:dyDescent="0.2">
      <c r="A32" s="223" t="s">
        <v>134</v>
      </c>
      <c r="B32" s="32">
        <v>1500</v>
      </c>
      <c r="C32" s="119" t="s">
        <v>135</v>
      </c>
      <c r="D32" s="32">
        <v>0</v>
      </c>
      <c r="E32" s="231">
        <f>Applicant2_GAIncome</f>
        <v>78214.285714285725</v>
      </c>
      <c r="F32" s="32">
        <v>0</v>
      </c>
      <c r="G32" s="231">
        <f>CalculationsReference!C40</f>
        <v>78214.285714285725</v>
      </c>
      <c r="H32" s="231">
        <f>CalculationsReference!C56</f>
        <v>15816</v>
      </c>
      <c r="I32" s="231">
        <f>CalculationsReference!C57</f>
        <v>62398</v>
      </c>
      <c r="J32" s="231">
        <f>CalculationsReference!C$58</f>
        <v>5199.833333333333</v>
      </c>
    </row>
    <row r="33" spans="1:10" x14ac:dyDescent="0.2">
      <c r="A33" s="223" t="s">
        <v>136</v>
      </c>
      <c r="B33" s="32">
        <v>0</v>
      </c>
      <c r="C33" s="235"/>
      <c r="D33" s="32">
        <v>0</v>
      </c>
      <c r="E33" s="231">
        <f>Applicant3_GAIncome</f>
        <v>0</v>
      </c>
      <c r="F33" s="32">
        <v>0</v>
      </c>
      <c r="G33" s="231">
        <f>CalculationsReference!D40</f>
        <v>0</v>
      </c>
      <c r="H33" s="231">
        <f>CalculationsReference!D56</f>
        <v>0</v>
      </c>
      <c r="I33" s="231">
        <f>CalculationsReference!D57</f>
        <v>0</v>
      </c>
      <c r="J33" s="231">
        <f>CalculationsReference!D$58</f>
        <v>0</v>
      </c>
    </row>
    <row r="34" spans="1:10" x14ac:dyDescent="0.2">
      <c r="A34" s="223" t="s">
        <v>137</v>
      </c>
      <c r="B34" s="32">
        <v>0</v>
      </c>
      <c r="C34" s="235"/>
      <c r="D34" s="32">
        <v>0</v>
      </c>
      <c r="E34" s="231">
        <f>Applicant4_GAIncome</f>
        <v>0</v>
      </c>
      <c r="F34" s="32">
        <v>0</v>
      </c>
      <c r="G34" s="231">
        <f>CalculationsReference!E40</f>
        <v>0</v>
      </c>
      <c r="H34" s="231">
        <f>CalculationsReference!E56</f>
        <v>0</v>
      </c>
      <c r="I34" s="231">
        <f>CalculationsReference!E57</f>
        <v>0</v>
      </c>
      <c r="J34" s="231">
        <f>CalculationsReference!E$58</f>
        <v>0</v>
      </c>
    </row>
    <row r="35" spans="1:10" x14ac:dyDescent="0.2">
      <c r="A35" s="223" t="s">
        <v>138</v>
      </c>
      <c r="B35" s="32">
        <v>0</v>
      </c>
      <c r="C35" s="119"/>
      <c r="D35" s="32">
        <v>0</v>
      </c>
      <c r="E35" s="231">
        <f>Applicant5_GAIncome</f>
        <v>0</v>
      </c>
      <c r="F35" s="32">
        <v>0</v>
      </c>
      <c r="G35" s="231">
        <f>CalculationsReference!F40</f>
        <v>0</v>
      </c>
      <c r="H35" s="231">
        <f>CalculationsReference!F56</f>
        <v>0</v>
      </c>
      <c r="I35" s="231">
        <f>CalculationsReference!F57</f>
        <v>0</v>
      </c>
      <c r="J35" s="231">
        <f>CalculationsReference!F$58</f>
        <v>0</v>
      </c>
    </row>
    <row r="36" spans="1:10" x14ac:dyDescent="0.2">
      <c r="A36" s="223" t="s">
        <v>139</v>
      </c>
      <c r="B36" s="32">
        <v>0</v>
      </c>
      <c r="C36" s="235"/>
      <c r="D36" s="32">
        <v>0</v>
      </c>
      <c r="E36" s="231">
        <f>Applicant6_GAIncome</f>
        <v>0</v>
      </c>
      <c r="F36" s="32">
        <v>0</v>
      </c>
      <c r="G36" s="231">
        <f>CalculationsReference!G40</f>
        <v>0</v>
      </c>
      <c r="H36" s="231">
        <f>CalculationsReference!G56</f>
        <v>0</v>
      </c>
      <c r="I36" s="231">
        <f>CalculationsReference!G57</f>
        <v>0</v>
      </c>
      <c r="J36" s="231">
        <f>CalculationsReference!G$58</f>
        <v>0</v>
      </c>
    </row>
    <row r="37" spans="1:10" x14ac:dyDescent="0.2">
      <c r="A37" s="83" t="s">
        <v>140</v>
      </c>
      <c r="B37" s="236">
        <v>0</v>
      </c>
      <c r="C37" s="91" t="str">
        <f>CalculationsReference!H4</f>
        <v>Fortnightly</v>
      </c>
      <c r="D37" s="210" t="s">
        <v>141</v>
      </c>
      <c r="E37" s="219"/>
      <c r="F37" s="219"/>
      <c r="G37" s="219"/>
      <c r="H37" s="219"/>
      <c r="I37" s="237">
        <f>Family_Payments_Amount*26</f>
        <v>0</v>
      </c>
      <c r="J37" s="237">
        <f>I37/12</f>
        <v>0</v>
      </c>
    </row>
    <row r="38" spans="1:10" x14ac:dyDescent="0.2">
      <c r="A38" s="420" t="s">
        <v>142</v>
      </c>
      <c r="B38" s="421"/>
      <c r="C38" s="421"/>
      <c r="D38" s="422"/>
      <c r="E38" s="32">
        <v>0</v>
      </c>
      <c r="F38" s="238">
        <v>0</v>
      </c>
      <c r="G38" s="239">
        <f>CalculationsReference!H40</f>
        <v>0</v>
      </c>
      <c r="H38" s="240">
        <f>CalculationsReference!H54</f>
        <v>0</v>
      </c>
      <c r="I38" s="239">
        <f>CalculationsReference!H57</f>
        <v>0</v>
      </c>
      <c r="J38" s="239">
        <f>CalculationsReference!H$58</f>
        <v>0</v>
      </c>
    </row>
    <row r="39" spans="1:10" x14ac:dyDescent="0.2">
      <c r="A39" s="420" t="s">
        <v>143</v>
      </c>
      <c r="B39" s="421"/>
      <c r="C39" s="421"/>
      <c r="D39" s="422"/>
      <c r="E39" s="241">
        <v>0</v>
      </c>
      <c r="F39" s="81"/>
      <c r="G39" s="82"/>
      <c r="H39" s="82"/>
      <c r="I39" s="82"/>
      <c r="J39" s="74"/>
    </row>
    <row r="40" spans="1:10" x14ac:dyDescent="0.2">
      <c r="A40" s="420" t="s">
        <v>144</v>
      </c>
      <c r="B40" s="421"/>
      <c r="C40" s="421"/>
      <c r="D40" s="422"/>
      <c r="E40" s="239">
        <f>IF(Company_NPBT_GAIncomePY=0,Company_NPBT_GAIncomeMRY,IF((Company_NPBT_GAIncomeMRY/Company_NPBT_GAIncomePY)&lt;=1.25,Company_NPBT_GAIncomeMRY,Company_NPBT_GAIncomePY*1.25))</f>
        <v>0</v>
      </c>
      <c r="F40" s="242" t="str">
        <f>IF(Error_Count&gt;0,VLOOKUP(1,Error_Table,2,FALSE),"")</f>
        <v/>
      </c>
      <c r="G40" s="242"/>
      <c r="H40" s="242"/>
      <c r="I40" s="242"/>
      <c r="J40" s="243"/>
    </row>
    <row r="41" spans="1:10" x14ac:dyDescent="0.2">
      <c r="A41" s="140" t="s">
        <v>145</v>
      </c>
      <c r="B41" s="219"/>
      <c r="C41" s="219"/>
      <c r="D41" s="219"/>
      <c r="E41" s="219"/>
      <c r="F41" s="219"/>
      <c r="G41" s="219"/>
      <c r="H41" s="219"/>
      <c r="I41" s="32"/>
      <c r="J41" s="90"/>
    </row>
    <row r="42" spans="1:10" x14ac:dyDescent="0.2">
      <c r="A42" s="365" t="s">
        <v>146</v>
      </c>
      <c r="B42" s="366"/>
      <c r="C42" s="366"/>
      <c r="D42" s="423"/>
      <c r="E42" s="244">
        <f>SUM(E31:E36,E40,I37)</f>
        <v>176214.28571428574</v>
      </c>
      <c r="F42" s="231">
        <f>SUM(F31:F38)</f>
        <v>0</v>
      </c>
      <c r="G42" s="231">
        <f>SUM(G31:G38,I37)</f>
        <v>176214.28571428574</v>
      </c>
      <c r="H42" s="231">
        <f>SUM(H31:H38)</f>
        <v>37964</v>
      </c>
      <c r="I42" s="231">
        <f>SUM(I31:I41)</f>
        <v>138250</v>
      </c>
      <c r="J42" s="231">
        <f>I42/12</f>
        <v>11520.833333333334</v>
      </c>
    </row>
    <row r="43" spans="1:10" ht="3.95" customHeight="1" x14ac:dyDescent="0.2">
      <c r="E43" s="49"/>
      <c r="F43" s="49"/>
      <c r="G43" s="49"/>
      <c r="H43" s="49"/>
      <c r="I43" s="49"/>
    </row>
    <row r="44" spans="1:10" x14ac:dyDescent="0.2">
      <c r="A44" s="424" t="s">
        <v>147</v>
      </c>
      <c r="B44" s="425"/>
      <c r="C44" s="425"/>
      <c r="D44" s="426"/>
      <c r="E44" s="86" t="s">
        <v>148</v>
      </c>
      <c r="F44" s="87"/>
      <c r="G44" s="88"/>
      <c r="H44" s="88"/>
      <c r="I44" s="89"/>
      <c r="J44" s="85" t="s">
        <v>149</v>
      </c>
    </row>
    <row r="45" spans="1:10" x14ac:dyDescent="0.2">
      <c r="A45" s="420" t="s">
        <v>27</v>
      </c>
      <c r="B45" s="421"/>
      <c r="C45" s="421"/>
      <c r="D45" s="422"/>
      <c r="E45" s="245">
        <f>Calculated_Living_Expenses</f>
        <v>58812</v>
      </c>
      <c r="F45" s="403"/>
      <c r="G45" s="404"/>
      <c r="H45" s="404"/>
      <c r="I45" s="405"/>
      <c r="J45" s="246">
        <f>E45/12</f>
        <v>4901</v>
      </c>
    </row>
    <row r="46" spans="1:10" x14ac:dyDescent="0.2">
      <c r="A46" s="420" t="s">
        <v>30</v>
      </c>
      <c r="B46" s="421"/>
      <c r="C46" s="421"/>
      <c r="D46" s="422"/>
      <c r="E46" s="241"/>
      <c r="F46" s="403"/>
      <c r="G46" s="404"/>
      <c r="H46" s="404"/>
      <c r="I46" s="405"/>
      <c r="J46" s="246">
        <f>E46/12</f>
        <v>0</v>
      </c>
    </row>
    <row r="47" spans="1:10" x14ac:dyDescent="0.2">
      <c r="A47" s="420" t="s">
        <v>150</v>
      </c>
      <c r="B47" s="421"/>
      <c r="C47" s="421"/>
      <c r="D47" s="422"/>
      <c r="E47" s="247">
        <f>MAX(Calculated_Living_Expenses,Living_Expenses_Override)</f>
        <v>58812</v>
      </c>
      <c r="F47" s="406"/>
      <c r="G47" s="407"/>
      <c r="H47" s="407"/>
      <c r="I47" s="408"/>
      <c r="J47" s="244">
        <f>E47/12</f>
        <v>4901</v>
      </c>
    </row>
    <row r="48" spans="1:10" ht="3.95" customHeight="1" x14ac:dyDescent="0.2">
      <c r="A48" s="30"/>
      <c r="B48" s="30"/>
      <c r="C48" s="30"/>
      <c r="D48" s="30"/>
      <c r="E48" s="30"/>
      <c r="F48" s="30"/>
      <c r="I48" s="30"/>
      <c r="J48" s="30"/>
    </row>
    <row r="49" spans="1:11" x14ac:dyDescent="0.2">
      <c r="A49" s="86" t="s">
        <v>151</v>
      </c>
      <c r="B49" s="84"/>
      <c r="C49" s="84"/>
      <c r="D49" s="84"/>
      <c r="E49" s="84"/>
      <c r="F49" s="85"/>
      <c r="G49" s="419" t="str">
        <f>Maximum_Loan_Amount_Text</f>
        <v>Maximum Loan Amount</v>
      </c>
      <c r="H49" s="339"/>
      <c r="I49" s="48"/>
      <c r="J49" s="48"/>
    </row>
    <row r="50" spans="1:11" x14ac:dyDescent="0.2">
      <c r="A50" s="365" t="s">
        <v>69</v>
      </c>
      <c r="B50" s="366"/>
      <c r="C50" s="366"/>
      <c r="D50" s="366"/>
      <c r="E50" s="248"/>
      <c r="F50" s="231">
        <f>Total_Net_Annual_Income</f>
        <v>138250</v>
      </c>
      <c r="G50" s="417">
        <f>MaximumLoanAmount</f>
        <v>894000</v>
      </c>
      <c r="H50" s="418"/>
      <c r="I50" s="205" t="s">
        <v>152</v>
      </c>
      <c r="J50" s="206">
        <f>SUM(Loan_Amount,D11,E11)/SUM(E31:F36,I37)</f>
        <v>3.9770952573976484</v>
      </c>
    </row>
    <row r="51" spans="1:11" ht="13.5" thickBot="1" x14ac:dyDescent="0.25">
      <c r="A51" s="363" t="s">
        <v>153</v>
      </c>
      <c r="B51" s="364"/>
      <c r="C51" s="364"/>
      <c r="D51" s="364"/>
      <c r="E51" s="248"/>
      <c r="F51" s="231">
        <f>Applicable_Living_Expenses</f>
        <v>58812</v>
      </c>
      <c r="I51" s="205" t="s">
        <v>154</v>
      </c>
      <c r="J51" s="206">
        <f>SUM(Loan_Amount,D11,E11,Other_Loans_OO_Amount,Other_Loans_Inv_Amount,Other_CreditCard_CFCU_Limits,Other_CreditCard_Amigo_Limits,Other_CreditCard_Banks_Limits,G25,Other_Commits_Amount,)/SUM(E31:F36,I37)</f>
        <v>3.9770952573976484</v>
      </c>
      <c r="K51" s="34"/>
    </row>
    <row r="52" spans="1:11" ht="18.75" thickBot="1" x14ac:dyDescent="0.3">
      <c r="A52" s="363" t="s">
        <v>155</v>
      </c>
      <c r="B52" s="364"/>
      <c r="C52" s="364"/>
      <c r="D52" s="364"/>
      <c r="E52" s="248"/>
      <c r="F52" s="231">
        <f>Other_Commits_Total_Monthly_Payment*12</f>
        <v>0</v>
      </c>
      <c r="I52" s="207" t="s">
        <v>156</v>
      </c>
      <c r="J52" s="208" t="str">
        <f>IF(J51&gt;6,"Yes","No")</f>
        <v>No</v>
      </c>
    </row>
    <row r="53" spans="1:11" ht="12.95" customHeight="1" x14ac:dyDescent="0.2">
      <c r="A53" s="363" t="s">
        <v>157</v>
      </c>
      <c r="B53" s="364"/>
      <c r="C53" s="364"/>
      <c r="D53" s="364"/>
      <c r="E53" s="248"/>
      <c r="F53" s="231">
        <f>ARA</f>
        <v>79438</v>
      </c>
      <c r="G53" s="409" t="s">
        <v>158</v>
      </c>
      <c r="H53" s="410"/>
      <c r="I53" s="410"/>
      <c r="J53" s="411"/>
    </row>
    <row r="54" spans="1:11" ht="12.95" customHeight="1" x14ac:dyDescent="0.2">
      <c r="A54" s="365" t="str">
        <f>"Proposed Loan Payments"</f>
        <v>Proposed Loan Payments</v>
      </c>
      <c r="B54" s="366"/>
      <c r="C54" s="366"/>
      <c r="D54" s="366"/>
      <c r="E54" s="248"/>
      <c r="F54" s="231">
        <f>SUM(CalculationsReference!G11,CalculationsReference!G18,CalculationsReference!G25)*12</f>
        <v>62236.967884260128</v>
      </c>
      <c r="G54" s="412"/>
      <c r="H54" s="413"/>
      <c r="I54" s="413"/>
      <c r="J54" s="411"/>
    </row>
    <row r="55" spans="1:11" x14ac:dyDescent="0.2">
      <c r="A55" s="363" t="s">
        <v>159</v>
      </c>
      <c r="B55" s="364"/>
      <c r="C55" s="364"/>
      <c r="D55" s="364"/>
      <c r="E55" s="248"/>
      <c r="F55" s="231">
        <f>TOTAL_COSTS-F54</f>
        <v>17201.032115739872</v>
      </c>
      <c r="G55" s="412"/>
      <c r="H55" s="413"/>
      <c r="I55" s="413"/>
      <c r="J55" s="411"/>
    </row>
    <row r="56" spans="1:11" x14ac:dyDescent="0.2">
      <c r="A56" s="367" t="s">
        <v>160</v>
      </c>
      <c r="B56" s="368"/>
      <c r="C56" s="368"/>
      <c r="D56" s="368"/>
      <c r="E56" s="248"/>
      <c r="F56" s="45">
        <f>NET_DISPOSABLE_INCOME/12</f>
        <v>1433.4193429783227</v>
      </c>
      <c r="G56" s="414"/>
      <c r="H56" s="415"/>
      <c r="I56" s="415"/>
      <c r="J56" s="416"/>
    </row>
    <row r="57" spans="1:11" ht="4.5" customHeight="1" x14ac:dyDescent="0.2"/>
    <row r="58" spans="1:11" x14ac:dyDescent="0.2">
      <c r="F58" s="214"/>
    </row>
    <row r="59" spans="1:11" x14ac:dyDescent="0.2"/>
    <row r="60" spans="1:11" x14ac:dyDescent="0.2"/>
  </sheetData>
  <sheetProtection algorithmName="SHA-512" hashValue="7NuCu5JlcTQGMGcbAfYVB/OWrncByvZhKhvDUmj35s6+WJDAIfGj03U8XopZFAx/8kBhlWlQHzQCs4NWm64uaQ==" saltValue="HAQEoc0Z8A0agocZhRAJlw==" spinCount="100000" sheet="1" selectLockedCells="1"/>
  <mergeCells count="56">
    <mergeCell ref="A38:D38"/>
    <mergeCell ref="A18:I18"/>
    <mergeCell ref="A17:I17"/>
    <mergeCell ref="G9:I9"/>
    <mergeCell ref="G11:I11"/>
    <mergeCell ref="A29:I29"/>
    <mergeCell ref="A19:E19"/>
    <mergeCell ref="A21:E21"/>
    <mergeCell ref="A20:E20"/>
    <mergeCell ref="A28:F28"/>
    <mergeCell ref="H19:I19"/>
    <mergeCell ref="E27:F27"/>
    <mergeCell ref="A23:F23"/>
    <mergeCell ref="A24:F24"/>
    <mergeCell ref="I25:I26"/>
    <mergeCell ref="I20:I21"/>
    <mergeCell ref="A47:D47"/>
    <mergeCell ref="A46:D46"/>
    <mergeCell ref="A50:D50"/>
    <mergeCell ref="A51:D51"/>
    <mergeCell ref="A39:D39"/>
    <mergeCell ref="A40:D40"/>
    <mergeCell ref="A42:D42"/>
    <mergeCell ref="A44:D44"/>
    <mergeCell ref="A45:D45"/>
    <mergeCell ref="F45:I45"/>
    <mergeCell ref="F46:I46"/>
    <mergeCell ref="F47:I47"/>
    <mergeCell ref="G53:J56"/>
    <mergeCell ref="G50:H50"/>
    <mergeCell ref="G49:H49"/>
    <mergeCell ref="J1:J2"/>
    <mergeCell ref="A5:I5"/>
    <mergeCell ref="C1:H1"/>
    <mergeCell ref="C2:H2"/>
    <mergeCell ref="B4:F4"/>
    <mergeCell ref="I1:I2"/>
    <mergeCell ref="A3:I3"/>
    <mergeCell ref="A1:A2"/>
    <mergeCell ref="B8:C8"/>
    <mergeCell ref="B9:C9"/>
    <mergeCell ref="B6:C6"/>
    <mergeCell ref="B10:C10"/>
    <mergeCell ref="B11:C11"/>
    <mergeCell ref="E26:F26"/>
    <mergeCell ref="A22:F22"/>
    <mergeCell ref="B12:C12"/>
    <mergeCell ref="B15:C15"/>
    <mergeCell ref="B14:C14"/>
    <mergeCell ref="B13:C13"/>
    <mergeCell ref="B16:C16"/>
    <mergeCell ref="A52:D52"/>
    <mergeCell ref="A53:D53"/>
    <mergeCell ref="A54:D54"/>
    <mergeCell ref="A55:D55"/>
    <mergeCell ref="A56:D56"/>
  </mergeCells>
  <phoneticPr fontId="0" type="noConversion"/>
  <conditionalFormatting sqref="E50:E56">
    <cfRule type="cellIs" dxfId="8" priority="1" operator="lessThan">
      <formula>0</formula>
    </cfRule>
    <cfRule type="cellIs" dxfId="7" priority="2" operator="greaterThan">
      <formula>0</formula>
    </cfRule>
  </conditionalFormatting>
  <conditionalFormatting sqref="F56">
    <cfRule type="cellIs" dxfId="6" priority="5" operator="lessThan">
      <formula>0</formula>
    </cfRule>
    <cfRule type="expression" dxfId="5" priority="6" stopIfTrue="1">
      <formula>IF(ARA_Test_Result=1,TRUE,FALSE)</formula>
    </cfRule>
    <cfRule type="expression" dxfId="4" priority="7" stopIfTrue="1">
      <formula>IF(ARA_Test_Result=0,TRUE,FALSE)</formula>
    </cfRule>
  </conditionalFormatting>
  <conditionalFormatting sqref="J52">
    <cfRule type="containsText" dxfId="3" priority="3" operator="containsText" text="No">
      <formula>NOT(ISERROR(SEARCH("No",J52)))</formula>
    </cfRule>
    <cfRule type="containsText" dxfId="2" priority="4" operator="containsText" text="Yes">
      <formula>NOT(ISERROR(SEARCH("Yes",J52)))</formula>
    </cfRule>
  </conditionalFormatting>
  <dataValidations xWindow="471" yWindow="589" count="2">
    <dataValidation type="list" allowBlank="1" showInputMessage="1" showErrorMessage="1" sqref="B6:C6" xr:uid="{00000000-0002-0000-0100-000000000000}">
      <formula1>Applicant_Type</formula1>
    </dataValidation>
    <dataValidation allowBlank="1" showInputMessage="1" showErrorMessage="1" prompt="Select the original loan term in months of the Other 'Owner Occupied' Mortgage Loan." sqref="F20:F21" xr:uid="{00000000-0002-0000-0100-000001000000}"/>
  </dataValidations>
  <printOptions horizontalCentered="1" verticalCentered="1"/>
  <pageMargins left="0.74803149606299213" right="0.74803149606299213" top="0.47244094488188981" bottom="0.47244094488188981" header="0.31496062992125984" footer="0.31496062992125984"/>
  <pageSetup paperSize="9" scale="45"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xWindow="471" yWindow="589" count="3">
        <x14:dataValidation type="list" allowBlank="1" showInputMessage="1" showErrorMessage="1" xr:uid="{00000000-0002-0000-0100-000002000000}">
          <x14:formula1>
            <xm:f>CalculationsReference!$H$3:$H$7</xm:f>
          </x14:formula1>
          <xm:sqref>C31:C36</xm:sqref>
        </x14:dataValidation>
        <x14:dataValidation type="list" allowBlank="1" showInputMessage="1" showErrorMessage="1" xr:uid="{00000000-0002-0000-0100-000003000000}">
          <x14:formula1>
            <xm:f>HiddenReference!$A$57:$A$58</xm:f>
          </x14:formula1>
          <xm:sqref>B13:E13</xm:sqref>
        </x14:dataValidation>
        <x14:dataValidation type="list" allowBlank="1" showInputMessage="1" showErrorMessage="1" xr:uid="{00000000-0002-0000-0100-000004000000}">
          <x14:formula1>
            <xm:f>CalculationsReference!$K$3:$K$8</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K56"/>
  <sheetViews>
    <sheetView showGridLines="0" view="pageBreakPreview" topLeftCell="A10" zoomScale="90" zoomScaleNormal="100" zoomScaleSheetLayoutView="90" workbookViewId="0">
      <selection activeCell="I22" sqref="I22"/>
    </sheetView>
  </sheetViews>
  <sheetFormatPr defaultColWidth="0" defaultRowHeight="12.95" customHeight="1" zeroHeight="1" x14ac:dyDescent="0.2"/>
  <cols>
    <col min="1" max="1" width="23.42578125" style="4" customWidth="1"/>
    <col min="2" max="4" width="15.42578125" style="4" customWidth="1"/>
    <col min="5" max="9" width="18.5703125" style="4" customWidth="1"/>
    <col min="10" max="10" width="21.140625" style="4" customWidth="1"/>
    <col min="11" max="11" width="0.85546875" style="4" customWidth="1"/>
    <col min="12" max="16384" width="9.140625" style="4" hidden="1"/>
  </cols>
  <sheetData>
    <row r="1" spans="1:10" ht="30" customHeight="1" x14ac:dyDescent="0.2">
      <c r="A1" s="401"/>
      <c r="B1" s="75"/>
      <c r="C1" s="393" t="s">
        <v>95</v>
      </c>
      <c r="D1" s="393"/>
      <c r="E1" s="393"/>
      <c r="F1" s="393"/>
      <c r="G1" s="393"/>
      <c r="H1" s="393"/>
      <c r="I1" s="398"/>
      <c r="J1" s="494" t="str">
        <f>Main!$J$1</f>
        <v>CFCU V13.19 - Dec 25</v>
      </c>
    </row>
    <row r="2" spans="1:10" ht="30" customHeight="1" x14ac:dyDescent="0.2">
      <c r="A2" s="402"/>
      <c r="B2" s="76"/>
      <c r="C2" s="394" t="s">
        <v>97</v>
      </c>
      <c r="D2" s="394"/>
      <c r="E2" s="394"/>
      <c r="F2" s="394"/>
      <c r="G2" s="394"/>
      <c r="H2" s="394"/>
      <c r="I2" s="399"/>
      <c r="J2" s="495"/>
    </row>
    <row r="3" spans="1:10" ht="3.95" customHeight="1" x14ac:dyDescent="0.2">
      <c r="A3" s="501"/>
      <c r="B3" s="502"/>
      <c r="C3" s="502"/>
      <c r="D3" s="502"/>
      <c r="E3" s="502"/>
      <c r="F3" s="502"/>
      <c r="G3" s="502"/>
      <c r="H3" s="502"/>
      <c r="I3" s="503"/>
    </row>
    <row r="4" spans="1:10" ht="12.75" x14ac:dyDescent="0.2">
      <c r="A4" s="134" t="str">
        <f>Main!A4</f>
        <v>Applicant Name</v>
      </c>
      <c r="B4" s="479">
        <f>Main!B4</f>
        <v>0</v>
      </c>
      <c r="C4" s="480"/>
      <c r="D4" s="480"/>
      <c r="E4" s="480"/>
      <c r="F4" s="481"/>
      <c r="G4" s="115"/>
      <c r="H4" s="115"/>
      <c r="I4" s="249">
        <f ca="1">Main!I4</f>
        <v>46070.63029872685</v>
      </c>
      <c r="J4" s="228"/>
    </row>
    <row r="5" spans="1:10" ht="3.95" customHeight="1" x14ac:dyDescent="0.2">
      <c r="A5" s="482"/>
      <c r="B5" s="483"/>
      <c r="C5" s="483"/>
      <c r="D5" s="483"/>
      <c r="E5" s="483"/>
      <c r="F5" s="483"/>
      <c r="G5" s="483"/>
      <c r="H5" s="483"/>
      <c r="I5" s="484"/>
    </row>
    <row r="6" spans="1:10" ht="12.75" x14ac:dyDescent="0.2">
      <c r="A6" s="134" t="str">
        <f>Main!A6</f>
        <v>Borrower Type</v>
      </c>
      <c r="B6" s="485" t="str">
        <f>Main!B6</f>
        <v>Couple 1 Child</v>
      </c>
      <c r="C6" s="485"/>
      <c r="D6" s="114"/>
      <c r="E6" s="165"/>
      <c r="F6" s="136"/>
      <c r="G6" s="115"/>
      <c r="H6" s="115"/>
      <c r="I6" s="250"/>
      <c r="J6" s="228"/>
    </row>
    <row r="7" spans="1:10" ht="12.75" x14ac:dyDescent="0.2">
      <c r="A7" s="134" t="str">
        <f>Main!A8</f>
        <v>Loan - Owner Occupied</v>
      </c>
      <c r="B7" s="486">
        <f>Main!B8</f>
        <v>700821</v>
      </c>
      <c r="C7" s="487"/>
      <c r="D7" s="116"/>
      <c r="E7" s="166"/>
      <c r="F7" s="136"/>
      <c r="G7" s="483"/>
      <c r="H7" s="483"/>
      <c r="I7" s="484"/>
    </row>
    <row r="8" spans="1:10" ht="12.75" x14ac:dyDescent="0.2">
      <c r="A8" s="134" t="str">
        <f>Main!A9</f>
        <v>Loan - Investment</v>
      </c>
      <c r="B8" s="486">
        <f>Main!B9</f>
        <v>0</v>
      </c>
      <c r="C8" s="487"/>
      <c r="D8" s="116"/>
      <c r="E8" s="166"/>
      <c r="F8" s="136"/>
      <c r="G8" s="483"/>
      <c r="H8" s="483"/>
      <c r="I8" s="484"/>
    </row>
    <row r="9" spans="1:10" ht="12.75" x14ac:dyDescent="0.2">
      <c r="A9" s="134" t="str">
        <f>Main!A10</f>
        <v>Credit Card - Limit</v>
      </c>
      <c r="B9" s="486">
        <f>Main!B10</f>
        <v>0</v>
      </c>
      <c r="C9" s="487"/>
      <c r="D9" s="116"/>
      <c r="E9" s="166"/>
      <c r="F9" s="136"/>
      <c r="G9" s="483"/>
      <c r="H9" s="483"/>
      <c r="I9" s="484"/>
    </row>
    <row r="10" spans="1:10" ht="12.95" customHeight="1" x14ac:dyDescent="0.2">
      <c r="A10" s="134" t="str">
        <f>Main!A11</f>
        <v>Total Loan Amount</v>
      </c>
      <c r="B10" s="383">
        <f>Main!B11</f>
        <v>700821</v>
      </c>
      <c r="C10" s="488"/>
      <c r="D10" s="116"/>
      <c r="E10" s="166"/>
      <c r="F10" s="136"/>
      <c r="G10" s="483"/>
      <c r="H10" s="483"/>
      <c r="I10" s="484"/>
    </row>
    <row r="11" spans="1:10" ht="12.75" x14ac:dyDescent="0.2">
      <c r="A11" s="134" t="str">
        <f>Main!A12</f>
        <v>Loan Interest Rate (p.a.)</v>
      </c>
      <c r="B11" s="496">
        <f>Main!B12</f>
        <v>5.0900000000000001E-2</v>
      </c>
      <c r="C11" s="497"/>
      <c r="D11" s="116"/>
      <c r="E11" s="166"/>
      <c r="F11" s="136"/>
      <c r="G11" s="483"/>
      <c r="H11" s="483"/>
      <c r="I11" s="484"/>
    </row>
    <row r="12" spans="1:10" ht="12.75" x14ac:dyDescent="0.2">
      <c r="A12" s="134" t="str">
        <f>Main!A14</f>
        <v>Loan Term (Months)</v>
      </c>
      <c r="B12" s="491">
        <f>Main!B14</f>
        <v>360</v>
      </c>
      <c r="C12" s="492"/>
      <c r="D12" s="116"/>
      <c r="E12" s="166"/>
      <c r="F12" s="136"/>
      <c r="G12" s="136"/>
      <c r="H12" s="136"/>
      <c r="I12" s="137"/>
    </row>
    <row r="13" spans="1:10" ht="12.95" customHeight="1" x14ac:dyDescent="0.2">
      <c r="A13" s="134" t="str">
        <f>Main!A15</f>
        <v>Loan Term (Years)</v>
      </c>
      <c r="B13" s="377">
        <f>Main!B15</f>
        <v>30</v>
      </c>
      <c r="C13" s="498"/>
      <c r="D13" s="117"/>
      <c r="E13" s="167"/>
      <c r="F13" s="136"/>
      <c r="G13" s="499"/>
      <c r="H13" s="499"/>
      <c r="I13" s="500"/>
      <c r="J13" s="78"/>
    </row>
    <row r="14" spans="1:10" ht="12.95" customHeight="1" x14ac:dyDescent="0.2">
      <c r="A14" s="134" t="str">
        <f>Main!A16</f>
        <v>Total Monthly Payment</v>
      </c>
      <c r="B14" s="383">
        <f>Main!B16</f>
        <v>3801</v>
      </c>
      <c r="C14" s="488"/>
      <c r="D14" s="118"/>
      <c r="E14" s="168"/>
      <c r="F14" s="125"/>
      <c r="G14" s="489"/>
      <c r="H14" s="489"/>
      <c r="I14" s="490"/>
      <c r="J14" s="78"/>
    </row>
    <row r="15" spans="1:10" ht="3.95" customHeight="1" x14ac:dyDescent="0.2">
      <c r="A15" s="329"/>
      <c r="B15" s="329"/>
      <c r="C15" s="329"/>
      <c r="D15" s="329"/>
      <c r="E15" s="329"/>
      <c r="F15" s="329"/>
      <c r="G15" s="329"/>
      <c r="H15" s="329"/>
      <c r="I15" s="329"/>
      <c r="J15" s="30"/>
    </row>
    <row r="16" spans="1:10" ht="12.75" x14ac:dyDescent="0.2">
      <c r="A16" s="476" t="s">
        <v>111</v>
      </c>
      <c r="B16" s="477"/>
      <c r="C16" s="477"/>
      <c r="D16" s="477"/>
      <c r="E16" s="477"/>
      <c r="F16" s="477"/>
      <c r="G16" s="477"/>
      <c r="H16" s="477"/>
      <c r="I16" s="478"/>
      <c r="J16" s="79"/>
    </row>
    <row r="17" spans="1:11" ht="12.75" x14ac:dyDescent="0.2">
      <c r="A17" s="463" t="s">
        <v>112</v>
      </c>
      <c r="B17" s="464"/>
      <c r="C17" s="464"/>
      <c r="D17" s="464"/>
      <c r="E17" s="464"/>
      <c r="F17" s="98" t="s">
        <v>23</v>
      </c>
      <c r="G17" s="138" t="s">
        <v>113</v>
      </c>
      <c r="H17" s="458" t="s">
        <v>114</v>
      </c>
      <c r="I17" s="459"/>
      <c r="J17" s="71"/>
    </row>
    <row r="18" spans="1:11" ht="12.95" customHeight="1" x14ac:dyDescent="0.2">
      <c r="A18" s="468" t="s">
        <v>115</v>
      </c>
      <c r="B18" s="469"/>
      <c r="C18" s="469"/>
      <c r="D18" s="469"/>
      <c r="E18" s="469"/>
      <c r="F18" s="251">
        <f>Main!F20</f>
        <v>360</v>
      </c>
      <c r="G18" s="47">
        <f>Main!G20</f>
        <v>0</v>
      </c>
      <c r="H18" s="47">
        <f>Main!H20</f>
        <v>0</v>
      </c>
      <c r="I18" s="493" t="str">
        <f>Main!I20</f>
        <v>Credit Card payments are based on</v>
      </c>
      <c r="J18" s="78"/>
    </row>
    <row r="19" spans="1:11" ht="12.95" customHeight="1" x14ac:dyDescent="0.2">
      <c r="A19" s="460" t="s">
        <v>116</v>
      </c>
      <c r="B19" s="461"/>
      <c r="C19" s="461"/>
      <c r="D19" s="461"/>
      <c r="E19" s="461"/>
      <c r="F19" s="252">
        <f>Main!F21</f>
        <v>300</v>
      </c>
      <c r="G19" s="47">
        <f>Main!G21</f>
        <v>0</v>
      </c>
      <c r="H19" s="47">
        <f>Main!H21</f>
        <v>0</v>
      </c>
      <c r="I19" s="475"/>
      <c r="J19" s="78"/>
    </row>
    <row r="20" spans="1:11" ht="12.75" x14ac:dyDescent="0.2">
      <c r="A20" s="470" t="s">
        <v>40</v>
      </c>
      <c r="B20" s="471"/>
      <c r="C20" s="471"/>
      <c r="D20" s="471"/>
      <c r="E20" s="447"/>
      <c r="F20" s="442"/>
      <c r="G20" s="47">
        <f>Main!G22</f>
        <v>0</v>
      </c>
      <c r="H20" s="231">
        <f>Main!H22</f>
        <v>0</v>
      </c>
      <c r="I20" s="183" t="str">
        <f>Main!I22</f>
        <v>3.2%</v>
      </c>
      <c r="J20" s="78"/>
    </row>
    <row r="21" spans="1:11" ht="12.75" x14ac:dyDescent="0.2">
      <c r="A21" s="470" t="s">
        <v>42</v>
      </c>
      <c r="B21" s="471"/>
      <c r="C21" s="471"/>
      <c r="D21" s="471"/>
      <c r="E21" s="447"/>
      <c r="F21" s="442"/>
      <c r="G21" s="47">
        <f>Main!G23</f>
        <v>0</v>
      </c>
      <c r="H21" s="231">
        <f>Main!H23</f>
        <v>0</v>
      </c>
      <c r="I21" s="183" t="str">
        <f>Main!I23</f>
        <v>3.5%</v>
      </c>
      <c r="J21" s="78"/>
    </row>
    <row r="22" spans="1:11" ht="12.75" x14ac:dyDescent="0.2">
      <c r="A22" s="470" t="s">
        <v>44</v>
      </c>
      <c r="B22" s="471"/>
      <c r="C22" s="471"/>
      <c r="D22" s="471"/>
      <c r="E22" s="447"/>
      <c r="F22" s="442"/>
      <c r="G22" s="47">
        <f>Main!G24</f>
        <v>0</v>
      </c>
      <c r="H22" s="231">
        <f>Main!H24</f>
        <v>0</v>
      </c>
      <c r="I22" s="183" t="str">
        <f>Main!I24</f>
        <v>3.75%</v>
      </c>
      <c r="J22" s="78"/>
    </row>
    <row r="23" spans="1:11" ht="12.75" x14ac:dyDescent="0.2">
      <c r="A23" s="470" t="s">
        <v>119</v>
      </c>
      <c r="B23" s="471"/>
      <c r="C23" s="471"/>
      <c r="D23" s="471"/>
      <c r="E23" s="447"/>
      <c r="F23" s="442"/>
      <c r="G23" s="47">
        <f>Main!G25</f>
        <v>0</v>
      </c>
      <c r="H23" s="231">
        <f>Main!H25</f>
        <v>0</v>
      </c>
      <c r="I23" s="475" t="str">
        <f>Main!I25</f>
        <v>of Credit Limit per month</v>
      </c>
      <c r="J23" s="78"/>
    </row>
    <row r="24" spans="1:11" ht="12.75" x14ac:dyDescent="0.2">
      <c r="A24" s="446" t="s">
        <v>120</v>
      </c>
      <c r="B24" s="447"/>
      <c r="C24" s="447"/>
      <c r="D24" s="447"/>
      <c r="E24" s="466">
        <f>Main!$E$26</f>
        <v>0</v>
      </c>
      <c r="F24" s="472"/>
      <c r="G24" s="47">
        <f>Main!G26</f>
        <v>0</v>
      </c>
      <c r="H24" s="47">
        <f>Main!H26</f>
        <v>0</v>
      </c>
      <c r="I24" s="475"/>
      <c r="J24" s="78"/>
    </row>
    <row r="25" spans="1:11" ht="12.75" x14ac:dyDescent="0.2">
      <c r="A25" s="253" t="str">
        <f>Main!A27</f>
        <v>Monthly Rent (Specify Address)</v>
      </c>
      <c r="B25" s="254"/>
      <c r="C25" s="254"/>
      <c r="D25" s="254"/>
      <c r="E25" s="466">
        <f>Main!E27</f>
        <v>0</v>
      </c>
      <c r="F25" s="467"/>
      <c r="G25" s="138"/>
      <c r="H25" s="47">
        <f>Main!H27</f>
        <v>0</v>
      </c>
      <c r="I25" s="181"/>
      <c r="J25" s="78"/>
    </row>
    <row r="26" spans="1:11" ht="12.75" x14ac:dyDescent="0.2">
      <c r="A26" s="473" t="str">
        <f>Main!A28</f>
        <v>Total</v>
      </c>
      <c r="B26" s="474"/>
      <c r="C26" s="474"/>
      <c r="D26" s="474"/>
      <c r="E26" s="447"/>
      <c r="F26" s="442"/>
      <c r="G26" s="255">
        <f>Main!G28</f>
        <v>0</v>
      </c>
      <c r="H26" s="255">
        <f>Main!H28</f>
        <v>0</v>
      </c>
      <c r="I26" s="182"/>
      <c r="J26" s="78"/>
    </row>
    <row r="27" spans="1:11" ht="3.95" customHeight="1" x14ac:dyDescent="0.2">
      <c r="A27" s="432"/>
      <c r="B27" s="432"/>
      <c r="C27" s="432"/>
      <c r="D27" s="432"/>
      <c r="E27" s="432"/>
      <c r="F27" s="432"/>
      <c r="G27" s="432"/>
      <c r="H27" s="432"/>
      <c r="I27" s="433"/>
      <c r="J27" s="30"/>
    </row>
    <row r="28" spans="1:11" ht="38.25" x14ac:dyDescent="0.2">
      <c r="A28" s="109" t="s">
        <v>122</v>
      </c>
      <c r="B28" s="111" t="s">
        <v>123</v>
      </c>
      <c r="C28" s="111" t="s">
        <v>124</v>
      </c>
      <c r="D28" s="111" t="s">
        <v>125</v>
      </c>
      <c r="E28" s="112" t="s">
        <v>126</v>
      </c>
      <c r="F28" s="112" t="s">
        <v>127</v>
      </c>
      <c r="G28" s="112" t="s">
        <v>128</v>
      </c>
      <c r="H28" s="112" t="s">
        <v>129</v>
      </c>
      <c r="I28" s="112" t="s">
        <v>130</v>
      </c>
      <c r="J28" s="113" t="s">
        <v>131</v>
      </c>
      <c r="K28" s="30"/>
    </row>
    <row r="29" spans="1:11" ht="12.75" x14ac:dyDescent="0.2">
      <c r="A29" s="256" t="s">
        <v>132</v>
      </c>
      <c r="B29" s="47">
        <f>Main!B31</f>
        <v>98000</v>
      </c>
      <c r="C29" s="257" t="str">
        <f>Main!C31</f>
        <v>Annually</v>
      </c>
      <c r="D29" s="47">
        <f>Main!D31</f>
        <v>0</v>
      </c>
      <c r="E29" s="255">
        <f>Main!E31</f>
        <v>98000</v>
      </c>
      <c r="F29" s="47">
        <f>Main!F31</f>
        <v>0</v>
      </c>
      <c r="G29" s="255">
        <f>Main!G31</f>
        <v>98000</v>
      </c>
      <c r="H29" s="255">
        <f>Main!H31</f>
        <v>22148</v>
      </c>
      <c r="I29" s="255">
        <f>Main!I31</f>
        <v>75852</v>
      </c>
      <c r="J29" s="255">
        <f>Main!J31</f>
        <v>6321</v>
      </c>
    </row>
    <row r="30" spans="1:11" ht="12.75" x14ac:dyDescent="0.2">
      <c r="A30" s="256" t="s">
        <v>134</v>
      </c>
      <c r="B30" s="47">
        <f>Main!B32</f>
        <v>1500</v>
      </c>
      <c r="C30" s="257" t="str">
        <f>Main!C32</f>
        <v>Weekly</v>
      </c>
      <c r="D30" s="47">
        <f>Main!D32</f>
        <v>0</v>
      </c>
      <c r="E30" s="255">
        <f>Main!E32</f>
        <v>78214.285714285725</v>
      </c>
      <c r="F30" s="47">
        <f>Main!F32</f>
        <v>0</v>
      </c>
      <c r="G30" s="255">
        <f>Main!G32</f>
        <v>78214.285714285725</v>
      </c>
      <c r="H30" s="255">
        <f>Main!H32</f>
        <v>15816</v>
      </c>
      <c r="I30" s="255">
        <f>Main!I32</f>
        <v>62398</v>
      </c>
      <c r="J30" s="255">
        <f>Main!J32</f>
        <v>5199.833333333333</v>
      </c>
    </row>
    <row r="31" spans="1:11" ht="12.75" x14ac:dyDescent="0.2">
      <c r="A31" s="256" t="s">
        <v>136</v>
      </c>
      <c r="B31" s="47">
        <f>Main!B33</f>
        <v>0</v>
      </c>
      <c r="C31" s="257">
        <f>Main!C33</f>
        <v>0</v>
      </c>
      <c r="D31" s="47">
        <f>Main!D33</f>
        <v>0</v>
      </c>
      <c r="E31" s="255">
        <f>Main!E33</f>
        <v>0</v>
      </c>
      <c r="F31" s="47">
        <f>Main!F33</f>
        <v>0</v>
      </c>
      <c r="G31" s="255">
        <f>Main!G33</f>
        <v>0</v>
      </c>
      <c r="H31" s="255">
        <f>Main!H33</f>
        <v>0</v>
      </c>
      <c r="I31" s="255">
        <f>Main!I33</f>
        <v>0</v>
      </c>
      <c r="J31" s="255">
        <f>Main!J33</f>
        <v>0</v>
      </c>
    </row>
    <row r="32" spans="1:11" ht="12.75" x14ac:dyDescent="0.2">
      <c r="A32" s="256" t="s">
        <v>137</v>
      </c>
      <c r="B32" s="47">
        <f>Main!B34</f>
        <v>0</v>
      </c>
      <c r="C32" s="257">
        <f>Main!C34</f>
        <v>0</v>
      </c>
      <c r="D32" s="47">
        <f>Main!D34</f>
        <v>0</v>
      </c>
      <c r="E32" s="255">
        <f>Main!E34</f>
        <v>0</v>
      </c>
      <c r="F32" s="47">
        <f>Main!F34</f>
        <v>0</v>
      </c>
      <c r="G32" s="255">
        <f>Main!G34</f>
        <v>0</v>
      </c>
      <c r="H32" s="255">
        <f>Main!H34</f>
        <v>0</v>
      </c>
      <c r="I32" s="255">
        <f>Main!I34</f>
        <v>0</v>
      </c>
      <c r="J32" s="255">
        <f>Main!J34</f>
        <v>0</v>
      </c>
    </row>
    <row r="33" spans="1:10" ht="12.75" x14ac:dyDescent="0.2">
      <c r="A33" s="256" t="s">
        <v>138</v>
      </c>
      <c r="B33" s="47">
        <f>Main!B35</f>
        <v>0</v>
      </c>
      <c r="C33" s="257">
        <f>Main!C35</f>
        <v>0</v>
      </c>
      <c r="D33" s="47">
        <f>Main!D35</f>
        <v>0</v>
      </c>
      <c r="E33" s="255">
        <f>Main!E35</f>
        <v>0</v>
      </c>
      <c r="F33" s="47">
        <f>Main!F35</f>
        <v>0</v>
      </c>
      <c r="G33" s="255">
        <f>Main!G35</f>
        <v>0</v>
      </c>
      <c r="H33" s="255">
        <f>Main!H35</f>
        <v>0</v>
      </c>
      <c r="I33" s="255">
        <f>Main!I35</f>
        <v>0</v>
      </c>
      <c r="J33" s="255">
        <f>Main!J35</f>
        <v>0</v>
      </c>
    </row>
    <row r="34" spans="1:10" ht="12.75" x14ac:dyDescent="0.2">
      <c r="A34" s="256" t="s">
        <v>139</v>
      </c>
      <c r="B34" s="47">
        <f>Main!B36</f>
        <v>0</v>
      </c>
      <c r="C34" s="257">
        <f>Main!C36</f>
        <v>0</v>
      </c>
      <c r="D34" s="47">
        <f>Main!D36</f>
        <v>0</v>
      </c>
      <c r="E34" s="255">
        <f>Main!E36</f>
        <v>0</v>
      </c>
      <c r="F34" s="47">
        <f>Main!F36</f>
        <v>0</v>
      </c>
      <c r="G34" s="255">
        <f>Main!G36</f>
        <v>0</v>
      </c>
      <c r="H34" s="255">
        <f>Main!H36</f>
        <v>0</v>
      </c>
      <c r="I34" s="255">
        <f>Main!I36</f>
        <v>0</v>
      </c>
      <c r="J34" s="255">
        <f>Main!J36</f>
        <v>0</v>
      </c>
    </row>
    <row r="35" spans="1:10" ht="51" x14ac:dyDescent="0.2">
      <c r="A35" s="110" t="s">
        <v>161</v>
      </c>
      <c r="B35" s="258">
        <f>Main!B37</f>
        <v>0</v>
      </c>
      <c r="C35" s="91" t="str">
        <f>Main!C37</f>
        <v>Fortnightly</v>
      </c>
      <c r="D35" s="222"/>
      <c r="E35" s="222"/>
      <c r="F35" s="222"/>
      <c r="G35" s="222"/>
      <c r="H35" s="222"/>
      <c r="I35" s="259">
        <f>Main!I37</f>
        <v>0</v>
      </c>
      <c r="J35" s="259">
        <f>Main!J37</f>
        <v>0</v>
      </c>
    </row>
    <row r="36" spans="1:10" ht="12.75" x14ac:dyDescent="0.2">
      <c r="A36" s="460" t="s">
        <v>142</v>
      </c>
      <c r="B36" s="461"/>
      <c r="C36" s="461"/>
      <c r="D36" s="462"/>
      <c r="E36" s="47">
        <f>Main!E38</f>
        <v>0</v>
      </c>
      <c r="F36" s="260">
        <f>Main!F38</f>
        <v>0</v>
      </c>
      <c r="G36" s="261">
        <f>Main!G38</f>
        <v>0</v>
      </c>
      <c r="H36" s="262">
        <f>Main!H38</f>
        <v>0</v>
      </c>
      <c r="I36" s="261">
        <f>Main!I38</f>
        <v>0</v>
      </c>
      <c r="J36" s="261">
        <f>Main!J38</f>
        <v>0</v>
      </c>
    </row>
    <row r="37" spans="1:10" ht="12.75" x14ac:dyDescent="0.2">
      <c r="A37" s="460" t="s">
        <v>143</v>
      </c>
      <c r="B37" s="461"/>
      <c r="C37" s="461"/>
      <c r="D37" s="462"/>
      <c r="E37" s="263">
        <f>Main!E39</f>
        <v>0</v>
      </c>
      <c r="F37" s="102"/>
      <c r="G37" s="103"/>
      <c r="H37" s="103"/>
      <c r="I37" s="103"/>
      <c r="J37" s="104"/>
    </row>
    <row r="38" spans="1:10" ht="12.75" x14ac:dyDescent="0.2">
      <c r="A38" s="460" t="s">
        <v>144</v>
      </c>
      <c r="B38" s="461"/>
      <c r="C38" s="461"/>
      <c r="D38" s="462"/>
      <c r="E38" s="261">
        <f>Main!E40</f>
        <v>0</v>
      </c>
      <c r="F38" s="165" t="str">
        <f>Main!F40</f>
        <v/>
      </c>
      <c r="G38" s="165"/>
      <c r="H38" s="165"/>
      <c r="I38" s="165"/>
      <c r="J38" s="264"/>
    </row>
    <row r="39" spans="1:10" ht="12.75" x14ac:dyDescent="0.2">
      <c r="A39" s="221" t="s">
        <v>162</v>
      </c>
      <c r="B39" s="222"/>
      <c r="C39" s="222"/>
      <c r="D39" s="222"/>
      <c r="E39" s="222"/>
      <c r="F39" s="222"/>
      <c r="G39" s="222"/>
      <c r="H39" s="222"/>
      <c r="I39" s="47">
        <f>Main!I41</f>
        <v>0</v>
      </c>
      <c r="J39" s="139"/>
    </row>
    <row r="40" spans="1:10" ht="12.75" x14ac:dyDescent="0.2">
      <c r="A40" s="446" t="s">
        <v>146</v>
      </c>
      <c r="B40" s="447"/>
      <c r="C40" s="447"/>
      <c r="D40" s="442"/>
      <c r="E40" s="265">
        <f>Main!E42</f>
        <v>176214.28571428574</v>
      </c>
      <c r="F40" s="255">
        <f>Main!F42</f>
        <v>0</v>
      </c>
      <c r="G40" s="255">
        <f>Main!G42</f>
        <v>176214.28571428574</v>
      </c>
      <c r="H40" s="255">
        <f>Main!H42</f>
        <v>37964</v>
      </c>
      <c r="I40" s="255">
        <f>Main!I42</f>
        <v>138250</v>
      </c>
      <c r="J40" s="255">
        <f>Main!J42</f>
        <v>11520.833333333334</v>
      </c>
    </row>
    <row r="41" spans="1:10" ht="3.95" customHeight="1" x14ac:dyDescent="0.2">
      <c r="E41" s="49"/>
      <c r="F41" s="49"/>
      <c r="G41" s="49"/>
      <c r="H41" s="49"/>
      <c r="I41" s="49"/>
    </row>
    <row r="42" spans="1:10" ht="12.75" x14ac:dyDescent="0.2">
      <c r="A42" s="463" t="s">
        <v>147</v>
      </c>
      <c r="B42" s="464"/>
      <c r="C42" s="464"/>
      <c r="D42" s="465"/>
      <c r="E42" s="93" t="s">
        <v>148</v>
      </c>
      <c r="F42" s="99"/>
      <c r="G42" s="100"/>
      <c r="H42" s="100"/>
      <c r="I42" s="101"/>
      <c r="J42" s="98" t="s">
        <v>149</v>
      </c>
    </row>
    <row r="43" spans="1:10" ht="12.75" x14ac:dyDescent="0.2">
      <c r="A43" s="460" t="s">
        <v>27</v>
      </c>
      <c r="B43" s="461"/>
      <c r="C43" s="461"/>
      <c r="D43" s="462"/>
      <c r="E43" s="266">
        <f>Main!E45</f>
        <v>58812</v>
      </c>
      <c r="F43" s="452"/>
      <c r="G43" s="453"/>
      <c r="H43" s="453"/>
      <c r="I43" s="454"/>
      <c r="J43" s="267">
        <f>Main!J45</f>
        <v>4901</v>
      </c>
    </row>
    <row r="44" spans="1:10" ht="12.75" x14ac:dyDescent="0.2">
      <c r="A44" s="460" t="s">
        <v>30</v>
      </c>
      <c r="B44" s="461"/>
      <c r="C44" s="461"/>
      <c r="D44" s="462"/>
      <c r="E44" s="263">
        <f>Main!E46</f>
        <v>0</v>
      </c>
      <c r="F44" s="452"/>
      <c r="G44" s="453"/>
      <c r="H44" s="453"/>
      <c r="I44" s="454"/>
      <c r="J44" s="267">
        <f>Main!J46</f>
        <v>0</v>
      </c>
    </row>
    <row r="45" spans="1:10" ht="12.75" x14ac:dyDescent="0.2">
      <c r="A45" s="460" t="s">
        <v>150</v>
      </c>
      <c r="B45" s="461"/>
      <c r="C45" s="461"/>
      <c r="D45" s="462"/>
      <c r="E45" s="268">
        <f>Main!E47</f>
        <v>58812</v>
      </c>
      <c r="F45" s="455"/>
      <c r="G45" s="456"/>
      <c r="H45" s="456"/>
      <c r="I45" s="457"/>
      <c r="J45" s="265">
        <f>Main!J47</f>
        <v>4901</v>
      </c>
    </row>
    <row r="46" spans="1:10" ht="3.95" customHeight="1" x14ac:dyDescent="0.2">
      <c r="A46" s="30"/>
      <c r="B46" s="30"/>
      <c r="C46" s="30"/>
      <c r="D46" s="30"/>
      <c r="E46" s="30"/>
      <c r="F46" s="30"/>
      <c r="I46" s="30"/>
      <c r="J46" s="30"/>
    </row>
    <row r="47" spans="1:10" ht="12.75" x14ac:dyDescent="0.2">
      <c r="A47" s="93" t="s">
        <v>151</v>
      </c>
      <c r="B47" s="94"/>
      <c r="C47" s="94"/>
      <c r="D47" s="94"/>
      <c r="E47" s="94"/>
      <c r="F47" s="98"/>
      <c r="G47" s="458" t="str">
        <f>Maximum_Loan_Amount_Text</f>
        <v>Maximum Loan Amount</v>
      </c>
      <c r="H47" s="459"/>
      <c r="I47" s="105"/>
      <c r="J47" s="106"/>
    </row>
    <row r="48" spans="1:10" ht="12.75" x14ac:dyDescent="0.2">
      <c r="A48" s="444" t="s">
        <v>69</v>
      </c>
      <c r="B48" s="444"/>
      <c r="C48" s="444"/>
      <c r="D48" s="444"/>
      <c r="E48" s="444"/>
      <c r="F48" s="255">
        <f>Main!F50</f>
        <v>138250</v>
      </c>
      <c r="G48" s="450">
        <f>Main!$G$50</f>
        <v>894000</v>
      </c>
      <c r="H48" s="451"/>
      <c r="I48" s="136"/>
      <c r="J48" s="137"/>
    </row>
    <row r="49" spans="1:11" ht="12.75" x14ac:dyDescent="0.2">
      <c r="A49" s="440" t="s">
        <v>153</v>
      </c>
      <c r="B49" s="441"/>
      <c r="C49" s="441"/>
      <c r="D49" s="441"/>
      <c r="E49" s="442"/>
      <c r="F49" s="255">
        <f>Main!F51</f>
        <v>58812</v>
      </c>
      <c r="G49" s="107"/>
      <c r="H49" s="136"/>
      <c r="I49" s="136"/>
      <c r="J49" s="269"/>
      <c r="K49" s="34"/>
    </row>
    <row r="50" spans="1:11" ht="12.75" x14ac:dyDescent="0.2">
      <c r="A50" s="440" t="s">
        <v>155</v>
      </c>
      <c r="B50" s="441"/>
      <c r="C50" s="441"/>
      <c r="D50" s="441"/>
      <c r="E50" s="442"/>
      <c r="F50" s="255">
        <f>Main!F52</f>
        <v>0</v>
      </c>
      <c r="G50" s="135"/>
      <c r="H50" s="125"/>
      <c r="I50" s="125"/>
      <c r="J50" s="108"/>
    </row>
    <row r="51" spans="1:11" ht="12.95" customHeight="1" x14ac:dyDescent="0.2">
      <c r="A51" s="443" t="s">
        <v>157</v>
      </c>
      <c r="B51" s="443"/>
      <c r="C51" s="443"/>
      <c r="D51" s="443"/>
      <c r="E51" s="444"/>
      <c r="F51" s="255">
        <f>Main!F53</f>
        <v>79438</v>
      </c>
      <c r="G51" s="409" t="s">
        <v>158</v>
      </c>
      <c r="H51" s="410"/>
      <c r="I51" s="410"/>
      <c r="J51" s="445"/>
    </row>
    <row r="52" spans="1:11" ht="12.95" customHeight="1" x14ac:dyDescent="0.2">
      <c r="A52" s="446" t="str">
        <f>"Proposed Loan Payments @ "&amp;TEXT(CalculationsReference!G9,"##0.00%")</f>
        <v>Proposed Loan Payments @ 8.09%</v>
      </c>
      <c r="B52" s="447"/>
      <c r="C52" s="447"/>
      <c r="D52" s="447"/>
      <c r="E52" s="442"/>
      <c r="F52" s="255">
        <f>Main!F54</f>
        <v>62236.967884260128</v>
      </c>
      <c r="G52" s="412"/>
      <c r="H52" s="413"/>
      <c r="I52" s="413"/>
      <c r="J52" s="411"/>
    </row>
    <row r="53" spans="1:11" ht="12.75" x14ac:dyDescent="0.2">
      <c r="A53" s="448" t="s">
        <v>159</v>
      </c>
      <c r="B53" s="448"/>
      <c r="C53" s="448"/>
      <c r="D53" s="448"/>
      <c r="E53" s="449"/>
      <c r="F53" s="255">
        <f>Main!F55</f>
        <v>17201.032115739872</v>
      </c>
      <c r="G53" s="412"/>
      <c r="H53" s="413"/>
      <c r="I53" s="413"/>
      <c r="J53" s="411"/>
    </row>
    <row r="54" spans="1:11" ht="12.75" x14ac:dyDescent="0.2">
      <c r="A54" s="95" t="s">
        <v>160</v>
      </c>
      <c r="B54" s="96"/>
      <c r="C54" s="96"/>
      <c r="D54" s="96"/>
      <c r="E54" s="97"/>
      <c r="F54" s="45">
        <f>Main!F56</f>
        <v>1433.4193429783227</v>
      </c>
      <c r="G54" s="414"/>
      <c r="H54" s="415"/>
      <c r="I54" s="415"/>
      <c r="J54" s="416"/>
    </row>
    <row r="55" spans="1:11" ht="4.5" customHeight="1" x14ac:dyDescent="0.2"/>
    <row r="56" spans="1:11" ht="12.75" x14ac:dyDescent="0.2"/>
  </sheetData>
  <sheetProtection selectLockedCells="1"/>
  <mergeCells count="57">
    <mergeCell ref="I18:I19"/>
    <mergeCell ref="J1:J2"/>
    <mergeCell ref="C2:H2"/>
    <mergeCell ref="B11:C11"/>
    <mergeCell ref="B13:C13"/>
    <mergeCell ref="G13:I13"/>
    <mergeCell ref="B9:C9"/>
    <mergeCell ref="A3:I3"/>
    <mergeCell ref="A1:A2"/>
    <mergeCell ref="C1:H1"/>
    <mergeCell ref="I1:I2"/>
    <mergeCell ref="A26:F26"/>
    <mergeCell ref="A23:F23"/>
    <mergeCell ref="I23:I24"/>
    <mergeCell ref="A16:I16"/>
    <mergeCell ref="B4:F4"/>
    <mergeCell ref="A5:I5"/>
    <mergeCell ref="B6:C6"/>
    <mergeCell ref="B7:C7"/>
    <mergeCell ref="G7:I11"/>
    <mergeCell ref="B8:C8"/>
    <mergeCell ref="B10:C10"/>
    <mergeCell ref="H17:I17"/>
    <mergeCell ref="B14:C14"/>
    <mergeCell ref="G14:I14"/>
    <mergeCell ref="A15:I15"/>
    <mergeCell ref="B12:C12"/>
    <mergeCell ref="E25:F25"/>
    <mergeCell ref="A17:E17"/>
    <mergeCell ref="A18:E18"/>
    <mergeCell ref="A19:E19"/>
    <mergeCell ref="A24:D24"/>
    <mergeCell ref="A21:F21"/>
    <mergeCell ref="A22:F22"/>
    <mergeCell ref="A20:F20"/>
    <mergeCell ref="E24:F24"/>
    <mergeCell ref="A48:E48"/>
    <mergeCell ref="G48:H48"/>
    <mergeCell ref="A27:I27"/>
    <mergeCell ref="F43:I43"/>
    <mergeCell ref="F44:I44"/>
    <mergeCell ref="F45:I45"/>
    <mergeCell ref="G47:H47"/>
    <mergeCell ref="A36:D36"/>
    <mergeCell ref="A37:D37"/>
    <mergeCell ref="A45:D45"/>
    <mergeCell ref="A38:D38"/>
    <mergeCell ref="A40:D40"/>
    <mergeCell ref="A42:D42"/>
    <mergeCell ref="A43:D43"/>
    <mergeCell ref="A44:D44"/>
    <mergeCell ref="A49:E49"/>
    <mergeCell ref="A50:E50"/>
    <mergeCell ref="A51:E51"/>
    <mergeCell ref="G51:J54"/>
    <mergeCell ref="A52:E52"/>
    <mergeCell ref="A53:E53"/>
  </mergeCells>
  <conditionalFormatting sqref="F54">
    <cfRule type="expression" dxfId="1" priority="1" stopIfTrue="1">
      <formula>IF(ARA_Test_Result=1,TRUE,FALSE)</formula>
    </cfRule>
    <cfRule type="expression" dxfId="0" priority="2" stopIfTrue="1">
      <formula>IF(ARA_Test_Result=0,TRUE,FALSE)</formula>
    </cfRule>
  </conditionalFormatting>
  <dataValidations count="2">
    <dataValidation type="list" allowBlank="1" showInputMessage="1" showErrorMessage="1" sqref="C29:C34" xr:uid="{00000000-0002-0000-0200-000000000000}">
      <formula1>Payment_Frequency</formula1>
    </dataValidation>
    <dataValidation type="list" allowBlank="1" showInputMessage="1" showErrorMessage="1" sqref="B6" xr:uid="{00000000-0002-0000-0200-000001000000}">
      <formula1>Applicant_Type</formula1>
    </dataValidation>
  </dataValidations>
  <printOptions horizontalCentered="1" verticalCentered="1"/>
  <pageMargins left="0.74803149606299213" right="0.74803149606299213" top="0.47244094488188981" bottom="0.47244094488188981" header="0.31496062992125984" footer="0.31496062992125984"/>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0" tint="-0.34998626667073579"/>
    <pageSetUpPr fitToPage="1"/>
  </sheetPr>
  <dimension ref="A1:S92"/>
  <sheetViews>
    <sheetView topLeftCell="A40" zoomScale="90" zoomScaleNormal="90" workbookViewId="0">
      <selection activeCell="C84" sqref="C84"/>
    </sheetView>
  </sheetViews>
  <sheetFormatPr defaultColWidth="9.140625" defaultRowHeight="12.75" x14ac:dyDescent="0.2"/>
  <cols>
    <col min="1" max="1" width="46" style="4" customWidth="1"/>
    <col min="2" max="2" width="18.42578125" style="4" customWidth="1"/>
    <col min="3" max="3" width="18" style="4" bestFit="1" customWidth="1"/>
    <col min="4" max="4" width="18.42578125" style="4" customWidth="1"/>
    <col min="5" max="5" width="15.5703125" style="4" customWidth="1"/>
    <col min="6" max="6" width="18" style="4" customWidth="1"/>
    <col min="7" max="7" width="19.5703125" style="4" bestFit="1" customWidth="1"/>
    <col min="8" max="8" width="19.42578125" style="4" bestFit="1" customWidth="1"/>
    <col min="9" max="9" width="15.42578125" style="4" bestFit="1" customWidth="1"/>
    <col min="10" max="10" width="12.140625" style="4" bestFit="1" customWidth="1"/>
    <col min="11" max="11" width="23.140625" style="4" bestFit="1" customWidth="1"/>
    <col min="12" max="12" width="12.140625" style="4" bestFit="1" customWidth="1"/>
    <col min="13" max="13" width="10.5703125" style="4" customWidth="1"/>
    <col min="14" max="21" width="11.140625" style="4" bestFit="1" customWidth="1"/>
    <col min="22" max="16384" width="9.140625" style="4"/>
  </cols>
  <sheetData>
    <row r="1" spans="1:11" ht="15.95" customHeight="1" x14ac:dyDescent="0.2">
      <c r="A1" s="504" t="s">
        <v>163</v>
      </c>
      <c r="B1" s="505"/>
      <c r="C1" s="505"/>
      <c r="D1" s="505"/>
      <c r="E1" s="505"/>
      <c r="F1" s="5">
        <f>Main!I1</f>
        <v>0</v>
      </c>
    </row>
    <row r="2" spans="1:11" x14ac:dyDescent="0.2">
      <c r="A2" s="8"/>
      <c r="B2" s="8"/>
      <c r="H2" s="77" t="s">
        <v>164</v>
      </c>
      <c r="I2" s="9" t="s">
        <v>165</v>
      </c>
      <c r="J2" s="30"/>
      <c r="K2" s="9" t="s">
        <v>166</v>
      </c>
    </row>
    <row r="3" spans="1:11" x14ac:dyDescent="0.2">
      <c r="A3" s="508" t="s">
        <v>167</v>
      </c>
      <c r="B3" s="509"/>
      <c r="C3" s="509"/>
      <c r="H3" s="270" t="s">
        <v>135</v>
      </c>
      <c r="I3" s="271">
        <f>365/7</f>
        <v>52.142857142857146</v>
      </c>
      <c r="K3" s="30" t="s">
        <v>141</v>
      </c>
    </row>
    <row r="4" spans="1:11" x14ac:dyDescent="0.2">
      <c r="A4" s="129" t="s">
        <v>168</v>
      </c>
      <c r="B4" s="272">
        <v>3.8399999999999997E-2</v>
      </c>
      <c r="C4" s="193">
        <f>Loan_Interest_Rate</f>
        <v>5.0900000000000001E-2</v>
      </c>
      <c r="H4" s="270" t="s">
        <v>169</v>
      </c>
      <c r="I4" s="271">
        <f>365/14</f>
        <v>26.071428571428573</v>
      </c>
      <c r="K4" s="30" t="s">
        <v>170</v>
      </c>
    </row>
    <row r="5" spans="1:11" x14ac:dyDescent="0.2">
      <c r="A5" s="129" t="s">
        <v>171</v>
      </c>
      <c r="B5" s="272">
        <v>0.03</v>
      </c>
      <c r="C5" s="273"/>
      <c r="H5" s="270" t="s">
        <v>172</v>
      </c>
      <c r="I5" s="274">
        <v>12</v>
      </c>
      <c r="K5" s="30" t="s">
        <v>173</v>
      </c>
    </row>
    <row r="6" spans="1:11" x14ac:dyDescent="0.2">
      <c r="B6" s="273"/>
      <c r="C6" s="273"/>
      <c r="H6" s="270" t="s">
        <v>174</v>
      </c>
      <c r="I6" s="274">
        <v>4</v>
      </c>
      <c r="K6" s="30" t="s">
        <v>175</v>
      </c>
    </row>
    <row r="7" spans="1:11" x14ac:dyDescent="0.2">
      <c r="A7" s="10" t="s">
        <v>176</v>
      </c>
      <c r="B7" s="506" t="s">
        <v>177</v>
      </c>
      <c r="C7" s="507"/>
      <c r="D7" s="506" t="s">
        <v>178</v>
      </c>
      <c r="E7" s="507"/>
      <c r="F7" s="512" t="s">
        <v>179</v>
      </c>
      <c r="G7" s="507"/>
      <c r="H7" s="270" t="s">
        <v>133</v>
      </c>
      <c r="I7" s="274">
        <v>1</v>
      </c>
      <c r="K7" s="30" t="s">
        <v>180</v>
      </c>
    </row>
    <row r="8" spans="1:11" x14ac:dyDescent="0.2">
      <c r="A8" s="514" t="s">
        <v>181</v>
      </c>
      <c r="B8" s="275" t="s">
        <v>73</v>
      </c>
      <c r="C8" s="164">
        <f>SUM(Main!B8:C9)</f>
        <v>700821</v>
      </c>
      <c r="D8" s="276" t="s">
        <v>182</v>
      </c>
      <c r="E8" s="164">
        <f>Credit_Card_Limit</f>
        <v>0</v>
      </c>
      <c r="F8" s="277" t="s">
        <v>73</v>
      </c>
      <c r="G8" s="164">
        <f>C8</f>
        <v>700821</v>
      </c>
      <c r="K8" s="30" t="s">
        <v>183</v>
      </c>
    </row>
    <row r="9" spans="1:11" x14ac:dyDescent="0.2">
      <c r="A9" s="515"/>
      <c r="B9" s="275" t="s">
        <v>184</v>
      </c>
      <c r="C9" s="278">
        <f>Loan_Interest_Rate</f>
        <v>5.0900000000000001E-2</v>
      </c>
      <c r="F9" s="277" t="s">
        <v>184</v>
      </c>
      <c r="G9" s="279">
        <f>IF(H9&lt;HiddenReference!C13,HiddenReference!C13,H9)</f>
        <v>8.09E-2</v>
      </c>
      <c r="H9" s="280">
        <f>IF(Main!B13="Variable",C9+Minimum_Servicing_Test_Rate,B12+Minimum_Servicing_Test_Rate)</f>
        <v>8.09E-2</v>
      </c>
    </row>
    <row r="10" spans="1:11" ht="13.5" thickBot="1" x14ac:dyDescent="0.25">
      <c r="A10" s="515"/>
      <c r="B10" s="281" t="s">
        <v>109</v>
      </c>
      <c r="C10" s="274">
        <f>Loan_Term_Years</f>
        <v>30</v>
      </c>
      <c r="D10" s="194">
        <f>PMT(G9/12,C10*12,C8,0,0)</f>
        <v>-5186.4139903550104</v>
      </c>
      <c r="F10" s="277" t="s">
        <v>109</v>
      </c>
      <c r="G10" s="282">
        <f>Loan_Term_Years</f>
        <v>30</v>
      </c>
    </row>
    <row r="11" spans="1:11" ht="13.5" thickBot="1" x14ac:dyDescent="0.25">
      <c r="A11" s="516"/>
      <c r="B11" s="276" t="s">
        <v>185</v>
      </c>
      <c r="C11" s="283">
        <f>(ROUNDUP(IF(AND(C8&gt;0,Loan_Interest_Rate&gt;0,Loan_Term_Years&gt;0),-PMT(Loan_Interest_Rate/12,G10*12,Loan_Amount,0,0),0),0))</f>
        <v>3801</v>
      </c>
      <c r="D11" s="143" t="s">
        <v>185</v>
      </c>
      <c r="E11" s="164">
        <f>(ROUNDUP(IF(E8&gt;0,MAX((E8*Credit_Card_Monthly_Payment_Percent),20),0),0))</f>
        <v>0</v>
      </c>
      <c r="F11" s="284" t="s">
        <v>185</v>
      </c>
      <c r="G11" s="195">
        <f>-D10+Credit_Card_Monthly_Payment</f>
        <v>5186.4139903550104</v>
      </c>
    </row>
    <row r="12" spans="1:11" x14ac:dyDescent="0.2">
      <c r="A12" s="129" t="s">
        <v>168</v>
      </c>
      <c r="B12" s="272">
        <f>IF(C9&gt;SVR,C9,SVR)</f>
        <v>5.0900000000000001E-2</v>
      </c>
      <c r="C12" s="285"/>
      <c r="D12" s="211"/>
      <c r="E12" s="285"/>
      <c r="F12" s="218"/>
      <c r="G12" s="212"/>
    </row>
    <row r="14" spans="1:11" x14ac:dyDescent="0.2">
      <c r="A14" s="10" t="s">
        <v>176</v>
      </c>
      <c r="B14" s="506" t="s">
        <v>186</v>
      </c>
      <c r="C14" s="507"/>
      <c r="D14" s="506" t="s">
        <v>178</v>
      </c>
      <c r="E14" s="507"/>
      <c r="F14" s="512" t="s">
        <v>179</v>
      </c>
      <c r="G14" s="507"/>
    </row>
    <row r="15" spans="1:11" x14ac:dyDescent="0.2">
      <c r="A15" s="514" t="s">
        <v>181</v>
      </c>
      <c r="B15" s="275" t="s">
        <v>73</v>
      </c>
      <c r="C15" s="164">
        <f>SUM(Main!D8:D9)</f>
        <v>0</v>
      </c>
      <c r="D15" s="276" t="s">
        <v>182</v>
      </c>
      <c r="E15" s="164">
        <f>Main!D10</f>
        <v>0</v>
      </c>
      <c r="F15" s="277" t="s">
        <v>73</v>
      </c>
      <c r="G15" s="164">
        <f>C15</f>
        <v>0</v>
      </c>
    </row>
    <row r="16" spans="1:11" x14ac:dyDescent="0.2">
      <c r="A16" s="515"/>
      <c r="B16" s="275" t="s">
        <v>184</v>
      </c>
      <c r="C16" s="278">
        <f>Main!D12</f>
        <v>0</v>
      </c>
      <c r="F16" s="277" t="s">
        <v>184</v>
      </c>
      <c r="G16" s="279">
        <f>IF(H16&lt;HiddenReference!C13,HiddenReference!C13,H16)</f>
        <v>6.8399999999999989E-2</v>
      </c>
      <c r="H16" s="280">
        <f>IF(Main!D13="Variable",C16+Minimum_Servicing_Test_Rate,B19+Minimum_Servicing_Test_Rate)</f>
        <v>6.8399999999999989E-2</v>
      </c>
    </row>
    <row r="17" spans="1:8" ht="13.5" thickBot="1" x14ac:dyDescent="0.25">
      <c r="A17" s="515"/>
      <c r="B17" s="281" t="s">
        <v>109</v>
      </c>
      <c r="C17" s="274">
        <f>Main!D15</f>
        <v>30</v>
      </c>
      <c r="D17" s="194">
        <f>PMT(H16/12,C17*12,C15,0,0)</f>
        <v>0</v>
      </c>
      <c r="F17" s="277" t="s">
        <v>109</v>
      </c>
      <c r="G17" s="274">
        <f>Main!D15</f>
        <v>30</v>
      </c>
    </row>
    <row r="18" spans="1:8" ht="13.5" thickBot="1" x14ac:dyDescent="0.25">
      <c r="A18" s="516"/>
      <c r="B18" s="276" t="s">
        <v>185</v>
      </c>
      <c r="C18" s="283">
        <f>(ROUNDUP(IF(AND(C15&gt;0,C16&gt;0,Loan_Term_Years&gt;0),-PMT(C16/12,G17*12,C15,0,0),0),0))</f>
        <v>0</v>
      </c>
      <c r="D18" s="143" t="s">
        <v>185</v>
      </c>
      <c r="E18" s="164">
        <f>(ROUNDUP(IF(E15&gt;0,MAX((E15*Credit_Card_Monthly_Payment_Percent),20),0),0))</f>
        <v>0</v>
      </c>
      <c r="F18" s="286" t="s">
        <v>185</v>
      </c>
      <c r="G18" s="195">
        <f>-D17+E18</f>
        <v>0</v>
      </c>
    </row>
    <row r="19" spans="1:8" x14ac:dyDescent="0.2">
      <c r="A19" s="129" t="s">
        <v>168</v>
      </c>
      <c r="B19" s="272">
        <f>IF(C16&gt;SVR,C16,SVR)</f>
        <v>3.8399999999999997E-2</v>
      </c>
      <c r="C19" s="285"/>
      <c r="D19" s="211"/>
      <c r="E19" s="285"/>
      <c r="F19" s="218"/>
      <c r="G19" s="212"/>
    </row>
    <row r="21" spans="1:8" x14ac:dyDescent="0.2">
      <c r="A21" s="10" t="s">
        <v>176</v>
      </c>
      <c r="B21" s="506" t="s">
        <v>187</v>
      </c>
      <c r="C21" s="507"/>
      <c r="D21" s="506" t="s">
        <v>178</v>
      </c>
      <c r="E21" s="507"/>
      <c r="F21" s="512" t="s">
        <v>179</v>
      </c>
      <c r="G21" s="507"/>
    </row>
    <row r="22" spans="1:8" x14ac:dyDescent="0.2">
      <c r="A22" s="514" t="s">
        <v>181</v>
      </c>
      <c r="B22" s="275" t="s">
        <v>73</v>
      </c>
      <c r="C22" s="164">
        <f>SUM(Main!E8:E9)</f>
        <v>0</v>
      </c>
      <c r="D22" s="276" t="s">
        <v>182</v>
      </c>
      <c r="E22" s="164">
        <f>Main!E10</f>
        <v>0</v>
      </c>
      <c r="F22" s="277" t="s">
        <v>73</v>
      </c>
      <c r="G22" s="164">
        <f>C22</f>
        <v>0</v>
      </c>
    </row>
    <row r="23" spans="1:8" x14ac:dyDescent="0.2">
      <c r="A23" s="515"/>
      <c r="B23" s="275" t="s">
        <v>184</v>
      </c>
      <c r="C23" s="278">
        <f>Main!E12</f>
        <v>0</v>
      </c>
      <c r="F23" s="277" t="s">
        <v>184</v>
      </c>
      <c r="G23" s="279">
        <f>IF(H23&lt;HiddenReference!C13,HiddenReference!C13,H23)</f>
        <v>6.8399999999999989E-2</v>
      </c>
      <c r="H23" s="280">
        <f>IF(Main!E13="Variable",C23+Minimum_Servicing_Test_Rate,B26+Minimum_Servicing_Test_Rate)</f>
        <v>6.8399999999999989E-2</v>
      </c>
    </row>
    <row r="24" spans="1:8" ht="13.5" thickBot="1" x14ac:dyDescent="0.25">
      <c r="A24" s="515"/>
      <c r="B24" s="281" t="s">
        <v>109</v>
      </c>
      <c r="C24" s="274">
        <f>Main!E15</f>
        <v>30</v>
      </c>
      <c r="D24" s="194">
        <f>PMT(H23/12,C24*12,C22,0,0)</f>
        <v>0</v>
      </c>
      <c r="F24" s="277" t="s">
        <v>109</v>
      </c>
      <c r="G24" s="274">
        <f>Main!E15</f>
        <v>30</v>
      </c>
    </row>
    <row r="25" spans="1:8" ht="13.5" thickBot="1" x14ac:dyDescent="0.25">
      <c r="A25" s="516"/>
      <c r="B25" s="276" t="s">
        <v>185</v>
      </c>
      <c r="C25" s="283">
        <f>(ROUNDUP(IF(AND(C22&gt;0,C23&gt;0,Loan_Term_Years&gt;0),-PMT(C23/12,G24*12,C22,0,0),0),0))</f>
        <v>0</v>
      </c>
      <c r="D25" s="143" t="s">
        <v>185</v>
      </c>
      <c r="E25" s="164">
        <f>(ROUNDUP(IF(E22&gt;0,MAX((E22*Credit_Card_Monthly_Payment_Percent),20),0),0))</f>
        <v>0</v>
      </c>
      <c r="F25" s="286" t="s">
        <v>185</v>
      </c>
      <c r="G25" s="195">
        <f>-D24+E25</f>
        <v>0</v>
      </c>
    </row>
    <row r="26" spans="1:8" x14ac:dyDescent="0.2">
      <c r="A26" s="129" t="s">
        <v>168</v>
      </c>
      <c r="B26" s="272">
        <f>IF(C23&gt;SVR,C23,SVR)</f>
        <v>3.8399999999999997E-2</v>
      </c>
      <c r="C26" s="285"/>
      <c r="D26" s="211"/>
      <c r="E26" s="285"/>
      <c r="F26" s="218"/>
      <c r="G26" s="212"/>
    </row>
    <row r="28" spans="1:8" x14ac:dyDescent="0.2">
      <c r="C28" s="179" t="s">
        <v>188</v>
      </c>
      <c r="D28" s="179" t="s">
        <v>189</v>
      </c>
      <c r="E28" s="179" t="s">
        <v>190</v>
      </c>
    </row>
    <row r="29" spans="1:8" x14ac:dyDescent="0.2">
      <c r="A29" s="513" t="s">
        <v>191</v>
      </c>
      <c r="B29" s="511"/>
      <c r="C29" s="287">
        <f>Credit_Card_Monthly_Percent</f>
        <v>3.2000000000000001E-2</v>
      </c>
      <c r="D29" s="287">
        <f>Credit_Card_Monthly_Percent_Amigo</f>
        <v>3.5000000000000003E-2</v>
      </c>
      <c r="E29" s="287">
        <f>Credit_Card_Monthly_Percent_OtherBanks</f>
        <v>3.7499999999999999E-2</v>
      </c>
    </row>
    <row r="30" spans="1:8" x14ac:dyDescent="0.2">
      <c r="A30" s="513" t="s">
        <v>192</v>
      </c>
      <c r="B30" s="511"/>
      <c r="C30" s="288">
        <f>RentalAllowance</f>
        <v>0.8</v>
      </c>
      <c r="G30" s="174" t="s">
        <v>193</v>
      </c>
      <c r="H30" s="288">
        <f>CompanyRentalAllowance</f>
        <v>0.6</v>
      </c>
    </row>
    <row r="31" spans="1:8" x14ac:dyDescent="0.2">
      <c r="A31" s="510" t="s">
        <v>194</v>
      </c>
      <c r="B31" s="511"/>
      <c r="C31" s="288">
        <f>Overtime_Haircut</f>
        <v>0.2</v>
      </c>
    </row>
    <row r="33" spans="1:9" s="14" customFormat="1" x14ac:dyDescent="0.2">
      <c r="A33" s="11" t="s">
        <v>195</v>
      </c>
      <c r="B33" s="12" t="s">
        <v>132</v>
      </c>
      <c r="C33" s="12" t="s">
        <v>134</v>
      </c>
      <c r="D33" s="12" t="s">
        <v>136</v>
      </c>
      <c r="E33" s="12" t="s">
        <v>137</v>
      </c>
      <c r="F33" s="12" t="s">
        <v>138</v>
      </c>
      <c r="G33" s="13" t="s">
        <v>139</v>
      </c>
      <c r="H33" s="12" t="s">
        <v>196</v>
      </c>
      <c r="I33" s="12" t="s">
        <v>49</v>
      </c>
    </row>
    <row r="34" spans="1:9" x14ac:dyDescent="0.2">
      <c r="A34" s="17" t="s">
        <v>197</v>
      </c>
      <c r="B34" s="16">
        <f>Applicant1_GIncome</f>
        <v>98000</v>
      </c>
      <c r="C34" s="16">
        <f>Applicant2_GIncome</f>
        <v>1500</v>
      </c>
      <c r="D34" s="16">
        <f>Applicant3_GIncome</f>
        <v>0</v>
      </c>
      <c r="E34" s="16">
        <f>Applicant4_GIncome</f>
        <v>0</v>
      </c>
      <c r="F34" s="16">
        <f>Applicant5_GIncome</f>
        <v>0</v>
      </c>
      <c r="G34" s="16">
        <f>Applicant6_GIncome</f>
        <v>0</v>
      </c>
      <c r="H34" s="16"/>
      <c r="I34" s="16"/>
    </row>
    <row r="35" spans="1:9" x14ac:dyDescent="0.2">
      <c r="A35" s="17" t="s">
        <v>198</v>
      </c>
      <c r="B35" s="16">
        <f>IF(Applicant1_IncFreq="","",VLOOKUP(Applicant1_IncFreq,Payment_Frequency_Multiples,2,FALSE))</f>
        <v>1</v>
      </c>
      <c r="C35" s="16">
        <f>IF(Applicant2_IncFreq="","",VLOOKUP(Applicant2_IncFreq,Payment_Frequency_Multiples,2,FALSE))</f>
        <v>52.142857142857146</v>
      </c>
      <c r="D35" s="16" t="str">
        <f>IF(Applicant3_IncFreq="","",VLOOKUP(Applicant3_IncFreq,Payment_Frequency_Multiples,2,FALSE))</f>
        <v/>
      </c>
      <c r="E35" s="16" t="str">
        <f>IF(Applicant4_IncFreq="","",VLOOKUP(Applicant4_IncFreq,Payment_Frequency_Multiples,2,FALSE))</f>
        <v/>
      </c>
      <c r="F35" s="16" t="str">
        <f>IF(Applicant5_IncFreq="","",VLOOKUP(Applicant5_IncFreq,Payment_Frequency_Multiples,2,FALSE))</f>
        <v/>
      </c>
      <c r="G35" s="16" t="str">
        <f>IF(Applicant6_IncFreq="","",VLOOKUP(Applicant6_IncFreq,Payment_Frequency_Multiples,2,FALSE))</f>
        <v/>
      </c>
      <c r="H35" s="16"/>
      <c r="I35" s="16"/>
    </row>
    <row r="36" spans="1:9" x14ac:dyDescent="0.2">
      <c r="A36" s="17" t="s">
        <v>199</v>
      </c>
      <c r="B36" s="16">
        <f>IF(Applicant1_IncFreq="",0,B34*B35)</f>
        <v>98000</v>
      </c>
      <c r="C36" s="16">
        <f>IF(Applicant2_IncFreq="",0,C34*C35)</f>
        <v>78214.285714285725</v>
      </c>
      <c r="D36" s="16">
        <f>IF(Applicant3_IncFreq="",0,D34*D35)</f>
        <v>0</v>
      </c>
      <c r="E36" s="16">
        <f>IF(Applicant4_IncFreq="",0,E34*E35)</f>
        <v>0</v>
      </c>
      <c r="F36" s="16">
        <f>IF(Applicant5_IncFreq="",0,F34*F35)</f>
        <v>0</v>
      </c>
      <c r="G36" s="16">
        <f>IF(Applicant6_IncFreq="",0,G34*G35)</f>
        <v>0</v>
      </c>
      <c r="H36" s="16">
        <f>(Company_NPBT_GAIncome+Company_NPBT_GAIncomePY)/2</f>
        <v>0</v>
      </c>
      <c r="I36" s="16">
        <f>SUM(B36:H36)</f>
        <v>176214.28571428574</v>
      </c>
    </row>
    <row r="37" spans="1:9" x14ac:dyDescent="0.2">
      <c r="A37" s="17" t="s">
        <v>200</v>
      </c>
      <c r="B37" s="164">
        <f>IF(Appl_Annual_Income_inc_Overtime_1&gt;B36,(Appl_Annual_Income_inc_Overtime_1-B36)*(1-Overtime_Haircut),0)</f>
        <v>0</v>
      </c>
      <c r="C37" s="16">
        <f>IF(Appl_Annual_Income_inc_Overtime_2&gt;C36,(Appl_Annual_Income_inc_Overtime_2-C36)*(1-Overtime_Haircut),0)</f>
        <v>0</v>
      </c>
      <c r="D37" s="16">
        <f>IF(Appl_Annual_Income_inc_Overtime_3&gt;D36,(Appl_Annual_Income_inc_Overtime_3-D36)*(1-Overtime_Haircut),0)</f>
        <v>0</v>
      </c>
      <c r="E37" s="16">
        <f>IF(Appl_Annual_Income_inc_Overtime_4&gt;E36,(Appl_Annual_Income_inc_Overtime_4-E36)*(1-Overtime_Haircut),0)</f>
        <v>0</v>
      </c>
      <c r="F37" s="16">
        <f>IF(Appl_Annual_Income_inc_Overtime_5&gt;F36,(Appl_Annual_Income_inc_Overtime_5-F36)*(1-Overtime_Haircut),0)</f>
        <v>0</v>
      </c>
      <c r="G37" s="16">
        <f>IF(Appl_Annual_Income_inc_Overtime_6&gt;G36,(Appl_Annual_Income_inc_Overtime_6-G36)*(1-Overtime_Haircut),0)</f>
        <v>0</v>
      </c>
      <c r="H37" s="16"/>
      <c r="I37" s="16"/>
    </row>
    <row r="38" spans="1:9" x14ac:dyDescent="0.2">
      <c r="A38" s="15" t="s">
        <v>126</v>
      </c>
      <c r="B38" s="16">
        <f>SUM(B36:B37)</f>
        <v>98000</v>
      </c>
      <c r="C38" s="16">
        <f t="shared" ref="C38:H38" si="0">SUM(C36:C37)</f>
        <v>78214.285714285725</v>
      </c>
      <c r="D38" s="16">
        <f t="shared" si="0"/>
        <v>0</v>
      </c>
      <c r="E38" s="16">
        <f t="shared" si="0"/>
        <v>0</v>
      </c>
      <c r="F38" s="16">
        <f t="shared" si="0"/>
        <v>0</v>
      </c>
      <c r="G38" s="16">
        <f t="shared" si="0"/>
        <v>0</v>
      </c>
      <c r="H38" s="16">
        <f t="shared" si="0"/>
        <v>0</v>
      </c>
      <c r="I38" s="16">
        <f>SUM(B38:H38)</f>
        <v>176214.28571428574</v>
      </c>
    </row>
    <row r="39" spans="1:9" x14ac:dyDescent="0.2">
      <c r="A39" s="15" t="str">
        <f>+TEXT(RentalAllowance,"##0.00%")&amp;" Gross Annual Rental Income"</f>
        <v>80.00% Gross Annual Rental Income</v>
      </c>
      <c r="B39" s="16">
        <f>ROUND(Applicant1_GARental*RentalAllowance,0)</f>
        <v>0</v>
      </c>
      <c r="C39" s="16">
        <f>ROUND(Applicant2_GARental*RentalAllowance,0)</f>
        <v>0</v>
      </c>
      <c r="D39" s="16">
        <f>ROUND(Applicant3_GARental*RentalAllowance,0)</f>
        <v>0</v>
      </c>
      <c r="E39" s="16">
        <f>ROUND(Applicant4_GARental*RentalAllowance,0)</f>
        <v>0</v>
      </c>
      <c r="F39" s="16">
        <f>ROUND(Applicant5_GARental*RentalAllowance,0)</f>
        <v>0</v>
      </c>
      <c r="G39" s="16">
        <f>ROUND(Applicant6_GARental*RentalAllowance,0)</f>
        <v>0</v>
      </c>
      <c r="H39" s="16">
        <f>ROUND(Company_NPBT_GARental*CompanyRentalAllowance,0)</f>
        <v>0</v>
      </c>
      <c r="I39" s="16">
        <f>SUM(B39:H39)</f>
        <v>0</v>
      </c>
    </row>
    <row r="40" spans="1:9" x14ac:dyDescent="0.2">
      <c r="A40" s="17" t="s">
        <v>201</v>
      </c>
      <c r="B40" s="164">
        <f t="shared" ref="B40:H40" si="1">SUM(B38:B39)</f>
        <v>98000</v>
      </c>
      <c r="C40" s="164">
        <f t="shared" si="1"/>
        <v>78214.285714285725</v>
      </c>
      <c r="D40" s="164">
        <f t="shared" si="1"/>
        <v>0</v>
      </c>
      <c r="E40" s="164">
        <f t="shared" si="1"/>
        <v>0</v>
      </c>
      <c r="F40" s="164">
        <f t="shared" si="1"/>
        <v>0</v>
      </c>
      <c r="G40" s="164">
        <f t="shared" si="1"/>
        <v>0</v>
      </c>
      <c r="H40" s="16">
        <f t="shared" si="1"/>
        <v>0</v>
      </c>
      <c r="I40" s="164">
        <f>SUM(B40:H40)</f>
        <v>176214.28571428574</v>
      </c>
    </row>
    <row r="41" spans="1:9" x14ac:dyDescent="0.2">
      <c r="A41" s="17"/>
      <c r="B41" s="18"/>
      <c r="C41" s="18"/>
      <c r="D41" s="18"/>
      <c r="E41" s="18"/>
      <c r="F41" s="18"/>
      <c r="G41" s="18"/>
      <c r="H41" s="16"/>
      <c r="I41" s="18"/>
    </row>
    <row r="42" spans="1:9" x14ac:dyDescent="0.2">
      <c r="A42" s="17" t="s">
        <v>202</v>
      </c>
      <c r="B42" s="19">
        <f>IF(Main!$F$42&gt;0,ROUND(B39/(Main!$F$42*RentalAllowance),4),0)</f>
        <v>0</v>
      </c>
      <c r="C42" s="19">
        <f>IF(Main!$F$42&gt;0,ROUND(C39/(Main!$F$42*RentalAllowance),4),0)</f>
        <v>0</v>
      </c>
      <c r="D42" s="19">
        <f>IF(Main!$F$42&gt;0,ROUND(D39/(Main!$F$42*RentalAllowance),4),0)</f>
        <v>0</v>
      </c>
      <c r="E42" s="19">
        <f>IF(Main!$F$42&gt;0,ROUND(E39/(Main!$F$42*RentalAllowance),4),0)</f>
        <v>0</v>
      </c>
      <c r="F42" s="19">
        <f>IF(Main!$F$42&gt;0,ROUND(F39/(Main!$F$42*RentalAllowance),4),0)</f>
        <v>0</v>
      </c>
      <c r="G42" s="19">
        <f>IF(Main!$F$42&gt;0,ROUND(G39/(Main!$F$42*RentalAllowance),4),0)</f>
        <v>0</v>
      </c>
      <c r="H42" s="19">
        <f>IF(Main!$F$42&gt;0,ROUND(H39/(Main!$F$42*CompanyRentalAllowance),4),0)</f>
        <v>0</v>
      </c>
      <c r="I42" s="19">
        <f>SUM(B42:H42)</f>
        <v>0</v>
      </c>
    </row>
    <row r="43" spans="1:9" x14ac:dyDescent="0.2">
      <c r="A43" s="15"/>
      <c r="B43" s="16"/>
      <c r="C43" s="16"/>
      <c r="D43" s="16"/>
      <c r="E43" s="16"/>
      <c r="F43" s="16"/>
      <c r="G43" s="16"/>
      <c r="H43" s="16"/>
      <c r="I43" s="16"/>
    </row>
    <row r="44" spans="1:9" x14ac:dyDescent="0.2">
      <c r="A44" s="43" t="s">
        <v>203</v>
      </c>
      <c r="B44" s="289">
        <f>IF(B39&gt;0,ROUND(IPMT(Loan_Interest_Rate,1,Loan_Term_Years*12,Main!$B$9*B42,0,0),0),0)</f>
        <v>0</v>
      </c>
      <c r="C44" s="289">
        <f>IF(C39&gt;0,ROUND(IPMT(Loan_Interest_Rate,1,Loan_Term_Years*12,Main!$B$9*C42,0,0),0),0)</f>
        <v>0</v>
      </c>
      <c r="D44" s="289">
        <f>IF(D39&gt;0,ROUND(IPMT(Loan_Interest_Rate,1,Loan_Term_Years*12,Main!$B$9*D42,0,0),0),0)</f>
        <v>0</v>
      </c>
      <c r="E44" s="289">
        <f>IF(E39&gt;0,ROUND(IPMT(Loan_Interest_Rate,1,Loan_Term_Years*12,Main!$B$9*E42,0,0),0),0)</f>
        <v>0</v>
      </c>
      <c r="F44" s="289">
        <f>IF(F39&gt;0,ROUND(IPMT(Loan_Interest_Rate,1,Loan_Term_Years*12,Main!$B$9*F42,0,0),0),0)</f>
        <v>0</v>
      </c>
      <c r="G44" s="289">
        <f>IF(G39&gt;0,ROUND(IPMT(Loan_Interest_Rate,1,Loan_Term_Years*12,Main!$B$9*G42,0,0),0),0)</f>
        <v>0</v>
      </c>
      <c r="H44" s="289">
        <f>IF(H39&gt;0,ROUND(IPMT(Loan_Interest_Rate,1,Loan_Term_Years*12,Main!$B$9*H42,0,0),0),0)</f>
        <v>0</v>
      </c>
      <c r="I44" s="289">
        <f>SUM(B44:H44)</f>
        <v>0</v>
      </c>
    </row>
    <row r="45" spans="1:9" x14ac:dyDescent="0.2">
      <c r="A45" s="43" t="s">
        <v>204</v>
      </c>
      <c r="B45" s="289">
        <f t="shared" ref="B45:H45" si="2">IF(B39&gt;0,ROUND(MAX(-Other_Loans_Inv_Payment*12*B42,IPMT(Loan_Interest_Rate,1,30,Other_Loans_Inv_Amount*B42,0,0)),0),0)</f>
        <v>0</v>
      </c>
      <c r="C45" s="289">
        <f t="shared" si="2"/>
        <v>0</v>
      </c>
      <c r="D45" s="289">
        <f t="shared" si="2"/>
        <v>0</v>
      </c>
      <c r="E45" s="289">
        <f t="shared" si="2"/>
        <v>0</v>
      </c>
      <c r="F45" s="289">
        <f t="shared" si="2"/>
        <v>0</v>
      </c>
      <c r="G45" s="289">
        <f t="shared" si="2"/>
        <v>0</v>
      </c>
      <c r="H45" s="289">
        <f t="shared" si="2"/>
        <v>0</v>
      </c>
      <c r="I45" s="289">
        <f>SUM(B45:H45)</f>
        <v>0</v>
      </c>
    </row>
    <row r="46" spans="1:9" x14ac:dyDescent="0.2">
      <c r="A46" s="17"/>
      <c r="B46" s="290"/>
      <c r="C46" s="290"/>
      <c r="D46" s="290"/>
      <c r="E46" s="290"/>
      <c r="F46" s="290"/>
      <c r="G46" s="290"/>
      <c r="H46" s="16"/>
      <c r="I46" s="290"/>
    </row>
    <row r="47" spans="1:9" x14ac:dyDescent="0.2">
      <c r="A47" s="15" t="s">
        <v>205</v>
      </c>
      <c r="B47" s="16">
        <f>B40-B39</f>
        <v>98000</v>
      </c>
      <c r="C47" s="16">
        <f t="shared" ref="C47:I47" si="3">C40-C39</f>
        <v>78214.285714285725</v>
      </c>
      <c r="D47" s="16">
        <f t="shared" si="3"/>
        <v>0</v>
      </c>
      <c r="E47" s="16">
        <f t="shared" si="3"/>
        <v>0</v>
      </c>
      <c r="F47" s="16">
        <f t="shared" si="3"/>
        <v>0</v>
      </c>
      <c r="G47" s="16">
        <f t="shared" si="3"/>
        <v>0</v>
      </c>
      <c r="H47" s="16">
        <f t="shared" si="3"/>
        <v>0</v>
      </c>
      <c r="I47" s="16">
        <f t="shared" si="3"/>
        <v>176214.28571428574</v>
      </c>
    </row>
    <row r="48" spans="1:9" x14ac:dyDescent="0.2">
      <c r="A48" s="15"/>
      <c r="B48" s="16"/>
      <c r="C48" s="16"/>
      <c r="D48" s="16"/>
      <c r="E48" s="16"/>
      <c r="F48" s="16"/>
      <c r="G48" s="16"/>
      <c r="H48" s="16"/>
      <c r="I48" s="16"/>
    </row>
    <row r="49" spans="1:19" x14ac:dyDescent="0.2">
      <c r="A49" s="15" t="s">
        <v>206</v>
      </c>
      <c r="B49" s="16">
        <f t="shared" ref="B49:G49" si="4">IF(B47&gt;0,VLOOKUP(B47,TaxScales,1),0)</f>
        <v>45001</v>
      </c>
      <c r="C49" s="16">
        <f t="shared" si="4"/>
        <v>45001</v>
      </c>
      <c r="D49" s="16">
        <f t="shared" si="4"/>
        <v>0</v>
      </c>
      <c r="E49" s="16">
        <f t="shared" si="4"/>
        <v>0</v>
      </c>
      <c r="F49" s="16">
        <f t="shared" si="4"/>
        <v>0</v>
      </c>
      <c r="G49" s="16">
        <f t="shared" si="4"/>
        <v>0</v>
      </c>
      <c r="H49" s="20" t="s">
        <v>207</v>
      </c>
      <c r="I49" s="16">
        <f>SUM(B49:H49)</f>
        <v>90002</v>
      </c>
    </row>
    <row r="50" spans="1:19" x14ac:dyDescent="0.2">
      <c r="A50" s="15" t="s">
        <v>208</v>
      </c>
      <c r="B50" s="16">
        <f t="shared" ref="B50:G50" si="5">IF(B47&gt;0,VLOOKUP(B47,TaxScales,2),0)</f>
        <v>4288</v>
      </c>
      <c r="C50" s="16">
        <f t="shared" si="5"/>
        <v>4288</v>
      </c>
      <c r="D50" s="16">
        <f t="shared" si="5"/>
        <v>0</v>
      </c>
      <c r="E50" s="16">
        <f t="shared" si="5"/>
        <v>0</v>
      </c>
      <c r="F50" s="16">
        <f t="shared" si="5"/>
        <v>0</v>
      </c>
      <c r="G50" s="16">
        <f t="shared" si="5"/>
        <v>0</v>
      </c>
      <c r="H50" s="20" t="s">
        <v>207</v>
      </c>
      <c r="I50" s="16">
        <f>SUM(B50:H50)</f>
        <v>8576</v>
      </c>
    </row>
    <row r="51" spans="1:19" x14ac:dyDescent="0.2">
      <c r="A51" s="15" t="s">
        <v>209</v>
      </c>
      <c r="B51" s="16">
        <f t="shared" ref="B51:G51" si="6">IF(B47&gt;0,B47-B49,0)</f>
        <v>52999</v>
      </c>
      <c r="C51" s="16">
        <f t="shared" si="6"/>
        <v>33213.285714285725</v>
      </c>
      <c r="D51" s="16">
        <f t="shared" si="6"/>
        <v>0</v>
      </c>
      <c r="E51" s="16">
        <f t="shared" si="6"/>
        <v>0</v>
      </c>
      <c r="F51" s="16">
        <f t="shared" si="6"/>
        <v>0</v>
      </c>
      <c r="G51" s="16">
        <f t="shared" si="6"/>
        <v>0</v>
      </c>
      <c r="H51" s="20" t="s">
        <v>207</v>
      </c>
      <c r="I51" s="16">
        <f>SUM(B51:H51)</f>
        <v>86212.285714285725</v>
      </c>
    </row>
    <row r="52" spans="1:19" x14ac:dyDescent="0.2">
      <c r="A52" s="15" t="s">
        <v>210</v>
      </c>
      <c r="B52" s="19">
        <f t="shared" ref="B52:G52" si="7">IF(B47&gt;0,VLOOKUP(B47,TaxScales,3),0)</f>
        <v>0.3</v>
      </c>
      <c r="C52" s="19">
        <f t="shared" si="7"/>
        <v>0.3</v>
      </c>
      <c r="D52" s="19">
        <f t="shared" si="7"/>
        <v>0</v>
      </c>
      <c r="E52" s="19">
        <f t="shared" si="7"/>
        <v>0</v>
      </c>
      <c r="F52" s="19">
        <f t="shared" si="7"/>
        <v>0</v>
      </c>
      <c r="G52" s="19">
        <f t="shared" si="7"/>
        <v>0</v>
      </c>
      <c r="H52" s="21">
        <f>CompanyTaxRate</f>
        <v>0.3</v>
      </c>
      <c r="I52" s="20" t="s">
        <v>207</v>
      </c>
    </row>
    <row r="53" spans="1:19" x14ac:dyDescent="0.2">
      <c r="A53" s="15" t="s">
        <v>211</v>
      </c>
      <c r="B53" s="16">
        <f t="shared" ref="B53:G53" si="8">IF(B47&gt;0,ROUND(B51*B52,2),0)</f>
        <v>15899.7</v>
      </c>
      <c r="C53" s="16">
        <f t="shared" si="8"/>
        <v>9963.99</v>
      </c>
      <c r="D53" s="16">
        <f t="shared" si="8"/>
        <v>0</v>
      </c>
      <c r="E53" s="16">
        <f t="shared" si="8"/>
        <v>0</v>
      </c>
      <c r="F53" s="16">
        <f t="shared" si="8"/>
        <v>0</v>
      </c>
      <c r="G53" s="16">
        <f t="shared" si="8"/>
        <v>0</v>
      </c>
      <c r="H53" s="22" t="s">
        <v>207</v>
      </c>
      <c r="I53" s="16">
        <f>SUM(B53:H53)</f>
        <v>25863.690000000002</v>
      </c>
    </row>
    <row r="54" spans="1:19" x14ac:dyDescent="0.2">
      <c r="A54" s="15" t="s">
        <v>212</v>
      </c>
      <c r="B54" s="16">
        <f t="shared" ref="B54:G54" si="9">IF(B47&gt;0,ROUND(B50+B53,0),0)</f>
        <v>20188</v>
      </c>
      <c r="C54" s="16">
        <f t="shared" si="9"/>
        <v>14252</v>
      </c>
      <c r="D54" s="16">
        <f t="shared" si="9"/>
        <v>0</v>
      </c>
      <c r="E54" s="16">
        <f t="shared" si="9"/>
        <v>0</v>
      </c>
      <c r="F54" s="16">
        <f t="shared" si="9"/>
        <v>0</v>
      </c>
      <c r="G54" s="16">
        <f t="shared" si="9"/>
        <v>0</v>
      </c>
      <c r="H54" s="16">
        <f>IF(H47&gt;0,ROUND(H47*H52,0),0)</f>
        <v>0</v>
      </c>
      <c r="I54" s="16">
        <f>SUM(B54:H54)</f>
        <v>34440</v>
      </c>
    </row>
    <row r="55" spans="1:19" x14ac:dyDescent="0.2">
      <c r="A55" s="15" t="s">
        <v>213</v>
      </c>
      <c r="B55" s="16">
        <f t="shared" ref="B55:G55" si="10">IF(B47&gt;Min_TaxableIncome,ROUND(B47*MedicareLevyRate,0),0)</f>
        <v>1960</v>
      </c>
      <c r="C55" s="16">
        <f t="shared" si="10"/>
        <v>1564</v>
      </c>
      <c r="D55" s="16">
        <f t="shared" si="10"/>
        <v>0</v>
      </c>
      <c r="E55" s="16">
        <f t="shared" si="10"/>
        <v>0</v>
      </c>
      <c r="F55" s="16">
        <f t="shared" si="10"/>
        <v>0</v>
      </c>
      <c r="G55" s="16">
        <f t="shared" si="10"/>
        <v>0</v>
      </c>
      <c r="H55" s="20" t="s">
        <v>207</v>
      </c>
      <c r="I55" s="16">
        <f>SUM(B55:H55)</f>
        <v>3524</v>
      </c>
    </row>
    <row r="56" spans="1:19" x14ac:dyDescent="0.2">
      <c r="A56" s="15" t="s">
        <v>214</v>
      </c>
      <c r="B56" s="16">
        <f t="shared" ref="B56:G56" si="11">ROUND(B54+B55,0)</f>
        <v>22148</v>
      </c>
      <c r="C56" s="16">
        <f t="shared" si="11"/>
        <v>15816</v>
      </c>
      <c r="D56" s="16">
        <f t="shared" si="11"/>
        <v>0</v>
      </c>
      <c r="E56" s="16">
        <f t="shared" si="11"/>
        <v>0</v>
      </c>
      <c r="F56" s="16">
        <f t="shared" si="11"/>
        <v>0</v>
      </c>
      <c r="G56" s="16">
        <f t="shared" si="11"/>
        <v>0</v>
      </c>
      <c r="H56" s="20" t="s">
        <v>207</v>
      </c>
      <c r="I56" s="16">
        <f>SUM(B56:H56)</f>
        <v>37964</v>
      </c>
    </row>
    <row r="57" spans="1:19" x14ac:dyDescent="0.2">
      <c r="A57" s="15" t="s">
        <v>215</v>
      </c>
      <c r="B57" s="16">
        <f t="shared" ref="B57:G57" si="12">ROUND(B40-B56,0)</f>
        <v>75852</v>
      </c>
      <c r="C57" s="16">
        <f t="shared" si="12"/>
        <v>62398</v>
      </c>
      <c r="D57" s="16">
        <f t="shared" si="12"/>
        <v>0</v>
      </c>
      <c r="E57" s="16">
        <f t="shared" si="12"/>
        <v>0</v>
      </c>
      <c r="F57" s="16">
        <f t="shared" si="12"/>
        <v>0</v>
      </c>
      <c r="G57" s="16">
        <f t="shared" si="12"/>
        <v>0</v>
      </c>
      <c r="H57" s="16">
        <f>ROUND(H40-H54,0)</f>
        <v>0</v>
      </c>
      <c r="I57" s="16">
        <f>SUM(B57:H57)</f>
        <v>138250</v>
      </c>
    </row>
    <row r="58" spans="1:19" x14ac:dyDescent="0.2">
      <c r="A58" s="15" t="s">
        <v>216</v>
      </c>
      <c r="B58" s="16">
        <f t="shared" ref="B58:I58" si="13">B57/12</f>
        <v>6321</v>
      </c>
      <c r="C58" s="16">
        <f t="shared" si="13"/>
        <v>5199.833333333333</v>
      </c>
      <c r="D58" s="16">
        <f t="shared" si="13"/>
        <v>0</v>
      </c>
      <c r="E58" s="16">
        <f t="shared" si="13"/>
        <v>0</v>
      </c>
      <c r="F58" s="16">
        <f t="shared" si="13"/>
        <v>0</v>
      </c>
      <c r="G58" s="16">
        <f t="shared" si="13"/>
        <v>0</v>
      </c>
      <c r="H58" s="16">
        <f t="shared" si="13"/>
        <v>0</v>
      </c>
      <c r="I58" s="16">
        <f t="shared" si="13"/>
        <v>11520.833333333334</v>
      </c>
    </row>
    <row r="59" spans="1:19" x14ac:dyDescent="0.2">
      <c r="B59" s="30"/>
      <c r="C59" s="31"/>
    </row>
    <row r="60" spans="1:19" ht="13.5" thickBot="1" x14ac:dyDescent="0.25">
      <c r="A60" s="28" t="s">
        <v>217</v>
      </c>
      <c r="B60" s="28"/>
      <c r="D60" s="25"/>
      <c r="E60" s="25"/>
      <c r="F60" s="25"/>
      <c r="G60" s="25"/>
    </row>
    <row r="61" spans="1:19" ht="13.5" thickBot="1" x14ac:dyDescent="0.25">
      <c r="A61" s="29">
        <f>IF(Total_Gross_Annual_Income=0,0,INDEX(Calculated_Living_Expense_Table,MATCH((Total_Gross_Annual_Income-I39),Gross_Annual_Income_Bands,1),MATCH(Main!B6,Applicant_Type,0)))</f>
        <v>4901</v>
      </c>
      <c r="B61" s="33"/>
      <c r="D61" s="25"/>
      <c r="E61" s="25"/>
      <c r="F61" s="25"/>
      <c r="G61" s="25"/>
    </row>
    <row r="62" spans="1:19" x14ac:dyDescent="0.2">
      <c r="A62" s="25"/>
      <c r="B62" s="25"/>
      <c r="C62" s="25"/>
      <c r="D62" s="25"/>
      <c r="E62" s="25"/>
      <c r="F62" s="25"/>
      <c r="G62" s="25"/>
    </row>
    <row r="63" spans="1:19" x14ac:dyDescent="0.2">
      <c r="A63" s="25" t="s">
        <v>218</v>
      </c>
      <c r="B63" s="25"/>
      <c r="C63" s="25"/>
      <c r="D63" s="25"/>
      <c r="E63" s="25"/>
      <c r="F63" s="25"/>
      <c r="G63" s="25"/>
    </row>
    <row r="64" spans="1:19" x14ac:dyDescent="0.2">
      <c r="A64" s="27" t="str">
        <f>'HEM Data'!A1&amp;" - "&amp;TEXT('HEM Data'!B1,"mmm yyyy")</f>
        <v>HEM DATA - Q2 2025</v>
      </c>
      <c r="B64" s="24"/>
      <c r="C64" s="24"/>
      <c r="D64" s="24"/>
      <c r="E64" s="24"/>
      <c r="F64" s="24"/>
      <c r="G64" s="24"/>
      <c r="H64" s="24"/>
      <c r="I64" s="24"/>
      <c r="J64" s="24"/>
      <c r="K64" s="24"/>
      <c r="L64" s="24"/>
      <c r="M64" s="24"/>
      <c r="N64" s="24"/>
      <c r="O64" s="24"/>
      <c r="P64" s="24"/>
      <c r="Q64" s="24"/>
      <c r="R64" s="24"/>
      <c r="S64" s="24"/>
    </row>
    <row r="65" spans="1:19" x14ac:dyDescent="0.2">
      <c r="A65" s="25"/>
      <c r="B65" s="25"/>
      <c r="C65" s="25"/>
      <c r="D65" s="25"/>
      <c r="E65" s="25"/>
      <c r="F65"/>
      <c r="G65"/>
      <c r="H65"/>
      <c r="I65"/>
      <c r="J65"/>
      <c r="K65"/>
      <c r="L65"/>
      <c r="M65"/>
      <c r="N65"/>
      <c r="O65"/>
      <c r="P65"/>
      <c r="Q65"/>
      <c r="R65"/>
      <c r="S65"/>
    </row>
    <row r="66" spans="1:19" ht="39.950000000000003" customHeight="1" x14ac:dyDescent="0.2">
      <c r="A66" s="154" t="s">
        <v>197</v>
      </c>
      <c r="B66" s="155" t="s">
        <v>219</v>
      </c>
      <c r="C66" s="155" t="s">
        <v>220</v>
      </c>
      <c r="D66" s="156" t="s">
        <v>98</v>
      </c>
      <c r="E66" s="156" t="s">
        <v>221</v>
      </c>
      <c r="F66" s="156" t="s">
        <v>222</v>
      </c>
      <c r="G66" s="156" t="s">
        <v>223</v>
      </c>
      <c r="H66" s="156" t="s">
        <v>224</v>
      </c>
      <c r="I66" s="156" t="s">
        <v>225</v>
      </c>
      <c r="J66" s="156" t="s">
        <v>226</v>
      </c>
      <c r="K66" s="156" t="s">
        <v>227</v>
      </c>
      <c r="L66" s="156" t="s">
        <v>228</v>
      </c>
      <c r="M66" s="156" t="s">
        <v>229</v>
      </c>
      <c r="N66" s="156" t="s">
        <v>230</v>
      </c>
      <c r="O66" s="156" t="s">
        <v>231</v>
      </c>
      <c r="P66" s="156" t="s">
        <v>232</v>
      </c>
      <c r="Q66" s="156" t="s">
        <v>233</v>
      </c>
      <c r="R66" s="156" t="s">
        <v>234</v>
      </c>
      <c r="S66" s="156" t="s">
        <v>235</v>
      </c>
    </row>
    <row r="67" spans="1:19" ht="15" x14ac:dyDescent="0.25">
      <c r="A67" s="157">
        <f>'HEM Data'!B2</f>
        <v>0</v>
      </c>
      <c r="B67" s="291">
        <f>ROUND('HEM Data'!$B$8,0)</f>
        <v>1415</v>
      </c>
      <c r="C67" s="291">
        <f>ROUND('HEM Data'!$B$3,0)</f>
        <v>2724</v>
      </c>
      <c r="D67" s="291">
        <f>ROUND('HEM Data'!$B$4,0)</f>
        <v>2724</v>
      </c>
      <c r="E67" s="291">
        <f>ROUND('HEM Data'!$B$5,0)</f>
        <v>2724</v>
      </c>
      <c r="F67" s="291">
        <f>ROUND('HEM Data'!$B$6,0)</f>
        <v>2724</v>
      </c>
      <c r="G67" s="291">
        <f>ROUND('HEM Data'!$B$6,0)</f>
        <v>2724</v>
      </c>
      <c r="H67" s="291">
        <f>ROUND('HEM Data'!$B$6,0)</f>
        <v>2724</v>
      </c>
      <c r="I67" s="291">
        <f>ROUND('HEM Data'!$B$6,0)</f>
        <v>2724</v>
      </c>
      <c r="J67" s="291">
        <f>ROUND('HEM Data'!$B$6,0)</f>
        <v>2724</v>
      </c>
      <c r="K67" s="291">
        <f>ROUND('HEM Data'!$B$6,0)</f>
        <v>2724</v>
      </c>
      <c r="L67" s="291">
        <f>ROUND('HEM Data'!$B$9,0)</f>
        <v>1415</v>
      </c>
      <c r="M67" s="291">
        <f>ROUND('HEM Data'!$B$10,0)</f>
        <v>1415</v>
      </c>
      <c r="N67" s="291">
        <f>ROUND('HEM Data'!$B$11,0)</f>
        <v>1415</v>
      </c>
      <c r="O67" s="291">
        <f>ROUND('HEM Data'!$B$11,0)</f>
        <v>1415</v>
      </c>
      <c r="P67" s="291">
        <f>ROUND('HEM Data'!$B$11,0)</f>
        <v>1415</v>
      </c>
      <c r="Q67" s="291">
        <f>ROUND('HEM Data'!$B$11,0)</f>
        <v>1415</v>
      </c>
      <c r="R67" s="291">
        <f>ROUND('HEM Data'!$B$11,0)</f>
        <v>1415</v>
      </c>
      <c r="S67" s="291">
        <f>ROUND('HEM Data'!$B$11,0)</f>
        <v>1415</v>
      </c>
    </row>
    <row r="68" spans="1:19" ht="15" x14ac:dyDescent="0.25">
      <c r="A68" s="157">
        <f>'HEM Data'!C2</f>
        <v>26000</v>
      </c>
      <c r="B68" s="291">
        <f>ROUND('HEM Data'!$C$8,0)</f>
        <v>1485</v>
      </c>
      <c r="C68" s="291">
        <f>ROUND('HEM Data'!$C$3,0)</f>
        <v>2724</v>
      </c>
      <c r="D68" s="291">
        <f>ROUND('HEM Data'!$C$4,0)</f>
        <v>2724</v>
      </c>
      <c r="E68" s="291">
        <f>ROUND('HEM Data'!$C$5,0)</f>
        <v>2724</v>
      </c>
      <c r="F68" s="291">
        <f>ROUND('HEM Data'!$C$6,0)</f>
        <v>2724</v>
      </c>
      <c r="G68" s="291">
        <f>ROUND('HEM Data'!$C$6,0)</f>
        <v>2724</v>
      </c>
      <c r="H68" s="291">
        <f>ROUND('HEM Data'!$C$6,0)</f>
        <v>2724</v>
      </c>
      <c r="I68" s="291">
        <f>ROUND('HEM Data'!$C$6,0)</f>
        <v>2724</v>
      </c>
      <c r="J68" s="291">
        <f>ROUND('HEM Data'!$C$6,0)</f>
        <v>2724</v>
      </c>
      <c r="K68" s="291">
        <f>ROUND('HEM Data'!$C$6,0)</f>
        <v>2724</v>
      </c>
      <c r="L68" s="291">
        <f>ROUND('HEM Data'!$C$9,0)</f>
        <v>1933</v>
      </c>
      <c r="M68" s="291">
        <f>ROUND('HEM Data'!$C$10,0)</f>
        <v>2439</v>
      </c>
      <c r="N68" s="291">
        <f>ROUND('HEM Data'!$C$11,0)</f>
        <v>2439</v>
      </c>
      <c r="O68" s="291">
        <f>ROUND('HEM Data'!$C$11,0)</f>
        <v>2439</v>
      </c>
      <c r="P68" s="291">
        <f>ROUND('HEM Data'!$C$11,0)</f>
        <v>2439</v>
      </c>
      <c r="Q68" s="291">
        <f>ROUND('HEM Data'!$C$11,0)</f>
        <v>2439</v>
      </c>
      <c r="R68" s="291">
        <f>ROUND('HEM Data'!$C$11,0)</f>
        <v>2439</v>
      </c>
      <c r="S68" s="291">
        <f>ROUND('HEM Data'!$C$11,0)</f>
        <v>2439</v>
      </c>
    </row>
    <row r="69" spans="1:19" ht="15" x14ac:dyDescent="0.25">
      <c r="A69" s="157">
        <f>'HEM Data'!D2</f>
        <v>39000</v>
      </c>
      <c r="B69" s="291">
        <f>ROUND('HEM Data'!$D$8,0)</f>
        <v>1552</v>
      </c>
      <c r="C69" s="291">
        <f>ROUND('HEM Data'!$D$3,0)</f>
        <v>2791</v>
      </c>
      <c r="D69" s="291">
        <f>ROUND('HEM Data'!$D$4,0)</f>
        <v>3201</v>
      </c>
      <c r="E69" s="291">
        <f>ROUND('HEM Data'!$D$5,0)</f>
        <v>3500</v>
      </c>
      <c r="F69" s="291">
        <f>ROUND('HEM Data'!$D$6,0)</f>
        <v>3500</v>
      </c>
      <c r="G69" s="291">
        <f>ROUND('HEM Data'!$D$6,0)</f>
        <v>3500</v>
      </c>
      <c r="H69" s="291">
        <f>ROUND('HEM Data'!$D$6,0)</f>
        <v>3500</v>
      </c>
      <c r="I69" s="291">
        <f>ROUND('HEM Data'!$D$6,0)</f>
        <v>3500</v>
      </c>
      <c r="J69" s="291">
        <f>ROUND('HEM Data'!$D$6,0)</f>
        <v>3500</v>
      </c>
      <c r="K69" s="291">
        <f>ROUND('HEM Data'!$D$6,0)</f>
        <v>3500</v>
      </c>
      <c r="L69" s="291">
        <f>ROUND('HEM Data'!$D$9,0)</f>
        <v>2000</v>
      </c>
      <c r="M69" s="291">
        <f>ROUND('HEM Data'!$D$10,0)</f>
        <v>2506</v>
      </c>
      <c r="N69" s="291">
        <f>ROUND('HEM Data'!$D$11,0)</f>
        <v>3012</v>
      </c>
      <c r="O69" s="291">
        <f>ROUND('HEM Data'!$D$11,0)</f>
        <v>3012</v>
      </c>
      <c r="P69" s="291">
        <f>ROUND('HEM Data'!$D$11,0)</f>
        <v>3012</v>
      </c>
      <c r="Q69" s="291">
        <f>ROUND('HEM Data'!$D$11,0)</f>
        <v>3012</v>
      </c>
      <c r="R69" s="291">
        <f>ROUND('HEM Data'!$D$11,0)</f>
        <v>3012</v>
      </c>
      <c r="S69" s="291">
        <f>ROUND('HEM Data'!$D$11,0)</f>
        <v>3012</v>
      </c>
    </row>
    <row r="70" spans="1:19" ht="15" x14ac:dyDescent="0.25">
      <c r="A70" s="157">
        <f>'HEM Data'!E2</f>
        <v>52000</v>
      </c>
      <c r="B70" s="291">
        <f>ROUND('HEM Data'!$E$8,0)</f>
        <v>1665</v>
      </c>
      <c r="C70" s="291">
        <f>ROUND('HEM Data'!$E$3,0)</f>
        <v>2904</v>
      </c>
      <c r="D70" s="291">
        <f>ROUND('HEM Data'!$E$4,0)</f>
        <v>3315</v>
      </c>
      <c r="E70" s="291">
        <f>ROUND('HEM Data'!$E$5,0)</f>
        <v>3613</v>
      </c>
      <c r="F70" s="291">
        <f>ROUND('HEM Data'!$E$6,0)</f>
        <v>3908</v>
      </c>
      <c r="G70" s="291">
        <f>ROUND('HEM Data'!$E$6,0)</f>
        <v>3908</v>
      </c>
      <c r="H70" s="291">
        <f>ROUND('HEM Data'!$E$6,0)</f>
        <v>3908</v>
      </c>
      <c r="I70" s="291">
        <f>ROUND('HEM Data'!$E$6,0)</f>
        <v>3908</v>
      </c>
      <c r="J70" s="291">
        <f>ROUND('HEM Data'!$E$6,0)</f>
        <v>3908</v>
      </c>
      <c r="K70" s="291">
        <f>ROUND('HEM Data'!$E$6,0)</f>
        <v>3908</v>
      </c>
      <c r="L70" s="291">
        <f>ROUND('HEM Data'!$E$9,0)</f>
        <v>2113</v>
      </c>
      <c r="M70" s="291">
        <f>ROUND('HEM Data'!$E$10,0)</f>
        <v>2618</v>
      </c>
      <c r="N70" s="291">
        <f>ROUND('HEM Data'!$E$11,0)</f>
        <v>3124</v>
      </c>
      <c r="O70" s="291">
        <f>ROUND('HEM Data'!$E$11,0)</f>
        <v>3124</v>
      </c>
      <c r="P70" s="291">
        <f>ROUND('HEM Data'!$E$11,0)</f>
        <v>3124</v>
      </c>
      <c r="Q70" s="291">
        <f>ROUND('HEM Data'!$E$11,0)</f>
        <v>3124</v>
      </c>
      <c r="R70" s="291">
        <f>ROUND('HEM Data'!$E$11,0)</f>
        <v>3124</v>
      </c>
      <c r="S70" s="291">
        <f>ROUND('HEM Data'!$E$11,0)</f>
        <v>3124</v>
      </c>
    </row>
    <row r="71" spans="1:19" ht="15" x14ac:dyDescent="0.25">
      <c r="A71" s="157">
        <f>'HEM Data'!F2</f>
        <v>66000</v>
      </c>
      <c r="B71" s="291">
        <f>ROUND('HEM Data'!$F$8,0)</f>
        <v>1851</v>
      </c>
      <c r="C71" s="291">
        <f>ROUND('HEM Data'!$F$3,0)</f>
        <v>3089</v>
      </c>
      <c r="D71" s="291">
        <f>ROUND('HEM Data'!$F$4,0)</f>
        <v>3501</v>
      </c>
      <c r="E71" s="291">
        <f>ROUND('HEM Data'!$F$5,0)</f>
        <v>3798</v>
      </c>
      <c r="F71" s="291">
        <f>ROUND('HEM Data'!$F$6,0)</f>
        <v>4093</v>
      </c>
      <c r="G71" s="291">
        <f>ROUND('HEM Data'!$F$6,0)</f>
        <v>4093</v>
      </c>
      <c r="H71" s="291">
        <f>ROUND('HEM Data'!$F$6,0)</f>
        <v>4093</v>
      </c>
      <c r="I71" s="291">
        <f>ROUND('HEM Data'!$F$6,0)</f>
        <v>4093</v>
      </c>
      <c r="J71" s="291">
        <f>ROUND('HEM Data'!$F$6,0)</f>
        <v>4093</v>
      </c>
      <c r="K71" s="291">
        <f>ROUND('HEM Data'!$F$6,0)</f>
        <v>4093</v>
      </c>
      <c r="L71" s="291">
        <f>ROUND('HEM Data'!$F$9,0)</f>
        <v>2297</v>
      </c>
      <c r="M71" s="291">
        <f>ROUND('HEM Data'!$F$10,0)</f>
        <v>2802</v>
      </c>
      <c r="N71" s="291">
        <f>ROUND('HEM Data'!$F$11,0)</f>
        <v>3308</v>
      </c>
      <c r="O71" s="291">
        <f>ROUND('HEM Data'!$F$11,0)</f>
        <v>3308</v>
      </c>
      <c r="P71" s="291">
        <f>ROUND('HEM Data'!$F$11,0)</f>
        <v>3308</v>
      </c>
      <c r="Q71" s="291">
        <f>ROUND('HEM Data'!$F$11,0)</f>
        <v>3308</v>
      </c>
      <c r="R71" s="291">
        <f>ROUND('HEM Data'!$F$11,0)</f>
        <v>3308</v>
      </c>
      <c r="S71" s="291">
        <f>ROUND('HEM Data'!$F$11,0)</f>
        <v>3308</v>
      </c>
    </row>
    <row r="72" spans="1:19" ht="15" x14ac:dyDescent="0.25">
      <c r="A72" s="157">
        <f>'HEM Data'!G2</f>
        <v>79000</v>
      </c>
      <c r="B72" s="291">
        <f>ROUND('HEM Data'!$G$8,0)</f>
        <v>2137</v>
      </c>
      <c r="C72" s="291">
        <f>ROUND('HEM Data'!$G$3,0)</f>
        <v>3375</v>
      </c>
      <c r="D72" s="291">
        <f>ROUND('HEM Data'!$G$4,0)</f>
        <v>3788</v>
      </c>
      <c r="E72" s="291">
        <f>ROUND('HEM Data'!$G$5,0)</f>
        <v>4083</v>
      </c>
      <c r="F72" s="291">
        <f>ROUND('HEM Data'!$G$6,0)</f>
        <v>4379</v>
      </c>
      <c r="G72" s="291">
        <f>ROUND('HEM Data'!$G$6,0)</f>
        <v>4379</v>
      </c>
      <c r="H72" s="291">
        <f>ROUND('HEM Data'!$G$6,0)</f>
        <v>4379</v>
      </c>
      <c r="I72" s="291">
        <f>ROUND('HEM Data'!$G$6,0)</f>
        <v>4379</v>
      </c>
      <c r="J72" s="291">
        <f>ROUND('HEM Data'!$G$6,0)</f>
        <v>4379</v>
      </c>
      <c r="K72" s="291">
        <f>ROUND('HEM Data'!$G$6,0)</f>
        <v>4379</v>
      </c>
      <c r="L72" s="291">
        <f>ROUND('HEM Data'!$G$9,0)</f>
        <v>2582</v>
      </c>
      <c r="M72" s="291">
        <f>ROUND('HEM Data'!$G$10,0)</f>
        <v>3087</v>
      </c>
      <c r="N72" s="291">
        <f>ROUND('HEM Data'!$G$11,0)</f>
        <v>3592</v>
      </c>
      <c r="O72" s="291">
        <f>ROUND('HEM Data'!$G$11,0)</f>
        <v>3592</v>
      </c>
      <c r="P72" s="291">
        <f>ROUND('HEM Data'!$G$11,0)</f>
        <v>3592</v>
      </c>
      <c r="Q72" s="291">
        <f>ROUND('HEM Data'!$G$11,0)</f>
        <v>3592</v>
      </c>
      <c r="R72" s="291">
        <f>ROUND('HEM Data'!$G$11,0)</f>
        <v>3592</v>
      </c>
      <c r="S72" s="291">
        <f>ROUND('HEM Data'!$G$11,0)</f>
        <v>3592</v>
      </c>
    </row>
    <row r="73" spans="1:19" ht="15" x14ac:dyDescent="0.25">
      <c r="A73" s="157">
        <f>'HEM Data'!H2</f>
        <v>105000</v>
      </c>
      <c r="B73" s="291">
        <f>ROUND('HEM Data'!$H$8,0)</f>
        <v>2535</v>
      </c>
      <c r="C73" s="291">
        <f>ROUND('HEM Data'!$H$3,0)</f>
        <v>3772</v>
      </c>
      <c r="D73" s="291">
        <f>ROUND('HEM Data'!$H$4,0)</f>
        <v>4187</v>
      </c>
      <c r="E73" s="291">
        <f>ROUND('HEM Data'!$H$5,0)</f>
        <v>4479</v>
      </c>
      <c r="F73" s="291">
        <f>ROUND('HEM Data'!$H$6,0)</f>
        <v>4775</v>
      </c>
      <c r="G73" s="291">
        <f>ROUND('HEM Data'!$H$6,0)</f>
        <v>4775</v>
      </c>
      <c r="H73" s="291">
        <f>ROUND('HEM Data'!$H$6,0)</f>
        <v>4775</v>
      </c>
      <c r="I73" s="291">
        <f>ROUND('HEM Data'!$H$6,0)</f>
        <v>4775</v>
      </c>
      <c r="J73" s="291">
        <f>ROUND('HEM Data'!$H$6,0)</f>
        <v>4775</v>
      </c>
      <c r="K73" s="291">
        <f>ROUND('HEM Data'!$H$6,0)</f>
        <v>4775</v>
      </c>
      <c r="L73" s="291">
        <f>ROUND('HEM Data'!$H$9,0)</f>
        <v>2977</v>
      </c>
      <c r="M73" s="291">
        <f>ROUND('HEM Data'!$H$10,0)</f>
        <v>3481</v>
      </c>
      <c r="N73" s="291">
        <f>ROUND('HEM Data'!$H$11,0)</f>
        <v>3986</v>
      </c>
      <c r="O73" s="291">
        <f>ROUND('HEM Data'!$H$11,0)</f>
        <v>3986</v>
      </c>
      <c r="P73" s="291">
        <f>ROUND('HEM Data'!$H$11,0)</f>
        <v>3986</v>
      </c>
      <c r="Q73" s="291">
        <f>ROUND('HEM Data'!$H$11,0)</f>
        <v>3986</v>
      </c>
      <c r="R73" s="291">
        <f>ROUND('HEM Data'!$H$11,0)</f>
        <v>3986</v>
      </c>
      <c r="S73" s="291">
        <f>ROUND('HEM Data'!$H$11,0)</f>
        <v>3986</v>
      </c>
    </row>
    <row r="74" spans="1:19" ht="15" x14ac:dyDescent="0.25">
      <c r="A74" s="157">
        <f>'HEM Data'!I2</f>
        <v>131000</v>
      </c>
      <c r="B74" s="291">
        <f>ROUND('HEM Data'!$I$8,0)</f>
        <v>2872</v>
      </c>
      <c r="C74" s="291">
        <f>ROUND('HEM Data'!$I$3,0)</f>
        <v>4109</v>
      </c>
      <c r="D74" s="291">
        <f>ROUND('HEM Data'!$I$4,0)</f>
        <v>4525</v>
      </c>
      <c r="E74" s="291">
        <f>ROUND('HEM Data'!$I$5,0)</f>
        <v>4815</v>
      </c>
      <c r="F74" s="291">
        <f>ROUND('HEM Data'!$I$6,0)</f>
        <v>5110</v>
      </c>
      <c r="G74" s="291">
        <f>ROUND('HEM Data'!$I$6,0)</f>
        <v>5110</v>
      </c>
      <c r="H74" s="291">
        <f>ROUND('HEM Data'!$I$6,0)</f>
        <v>5110</v>
      </c>
      <c r="I74" s="291">
        <f>ROUND('HEM Data'!$I$6,0)</f>
        <v>5110</v>
      </c>
      <c r="J74" s="291">
        <f>ROUND('HEM Data'!$I$6,0)</f>
        <v>5110</v>
      </c>
      <c r="K74" s="291">
        <f>ROUND('HEM Data'!$I$6,0)</f>
        <v>5110</v>
      </c>
      <c r="L74" s="291">
        <f>ROUND('HEM Data'!$I$9,0)</f>
        <v>3312</v>
      </c>
      <c r="M74" s="291">
        <f>ROUND('HEM Data'!$I$10,0)</f>
        <v>3816</v>
      </c>
      <c r="N74" s="291">
        <f>ROUND('HEM Data'!$I$11,0)</f>
        <v>4320</v>
      </c>
      <c r="O74" s="291">
        <f>ROUND('HEM Data'!$I$11,0)</f>
        <v>4320</v>
      </c>
      <c r="P74" s="291">
        <f>ROUND('HEM Data'!$I$11,0)</f>
        <v>4320</v>
      </c>
      <c r="Q74" s="291">
        <f>ROUND('HEM Data'!$I$11,0)</f>
        <v>4320</v>
      </c>
      <c r="R74" s="291">
        <f>ROUND('HEM Data'!$I$11,0)</f>
        <v>4320</v>
      </c>
      <c r="S74" s="291">
        <f>ROUND('HEM Data'!$I$11,0)</f>
        <v>4320</v>
      </c>
    </row>
    <row r="75" spans="1:19" ht="15" x14ac:dyDescent="0.25">
      <c r="A75" s="157">
        <f>'HEM Data'!J2</f>
        <v>157000</v>
      </c>
      <c r="B75" s="291">
        <f>ROUND('HEM Data'!$J$8,0)</f>
        <v>3248</v>
      </c>
      <c r="C75" s="291">
        <f>ROUND('HEM Data'!$J$3,0)</f>
        <v>4484</v>
      </c>
      <c r="D75" s="291">
        <f>ROUND('HEM Data'!$J$4,0)</f>
        <v>4901</v>
      </c>
      <c r="E75" s="291">
        <f>ROUND('HEM Data'!$J$5,0)</f>
        <v>5189</v>
      </c>
      <c r="F75" s="291">
        <f>ROUND('HEM Data'!$J$6,0)</f>
        <v>5484</v>
      </c>
      <c r="G75" s="291">
        <f>ROUND('HEM Data'!$J$6,0)</f>
        <v>5484</v>
      </c>
      <c r="H75" s="291">
        <f>ROUND('HEM Data'!$J$6,0)</f>
        <v>5484</v>
      </c>
      <c r="I75" s="291">
        <f>ROUND('HEM Data'!$J$6,0)</f>
        <v>5484</v>
      </c>
      <c r="J75" s="291">
        <f>ROUND('HEM Data'!$J$6,0)</f>
        <v>5484</v>
      </c>
      <c r="K75" s="291">
        <f>ROUND('HEM Data'!$J$6,0)</f>
        <v>5484</v>
      </c>
      <c r="L75" s="291">
        <f>ROUND('HEM Data'!$J$9,0)</f>
        <v>3685</v>
      </c>
      <c r="M75" s="291">
        <f>ROUND('HEM Data'!$J$10,0)</f>
        <v>4188</v>
      </c>
      <c r="N75" s="291">
        <f>ROUND('HEM Data'!$J$11,0)</f>
        <v>4691</v>
      </c>
      <c r="O75" s="291">
        <f>ROUND('HEM Data'!$J$11,0)</f>
        <v>4691</v>
      </c>
      <c r="P75" s="291">
        <f>ROUND('HEM Data'!$J$11,0)</f>
        <v>4691</v>
      </c>
      <c r="Q75" s="291">
        <f>ROUND('HEM Data'!$J$11,0)</f>
        <v>4691</v>
      </c>
      <c r="R75" s="291">
        <f>ROUND('HEM Data'!$J$11,0)</f>
        <v>4691</v>
      </c>
      <c r="S75" s="291">
        <f>ROUND('HEM Data'!$J$11,0)</f>
        <v>4691</v>
      </c>
    </row>
    <row r="76" spans="1:19" ht="15" x14ac:dyDescent="0.25">
      <c r="A76" s="157">
        <f>'HEM Data'!K2</f>
        <v>184000</v>
      </c>
      <c r="B76" s="291">
        <f>ROUND('HEM Data'!$K$8,0)</f>
        <v>3468</v>
      </c>
      <c r="C76" s="291">
        <f>ROUND('HEM Data'!$K$3,0)</f>
        <v>4704</v>
      </c>
      <c r="D76" s="291">
        <f>ROUND('HEM Data'!$K$4,0)</f>
        <v>5122</v>
      </c>
      <c r="E76" s="291">
        <f>ROUND('HEM Data'!$K$5,0)</f>
        <v>5409</v>
      </c>
      <c r="F76" s="291">
        <f>ROUND('HEM Data'!$K$6,0)</f>
        <v>5703</v>
      </c>
      <c r="G76" s="291">
        <f>ROUND('HEM Data'!$K$6,0)</f>
        <v>5703</v>
      </c>
      <c r="H76" s="291">
        <f>ROUND('HEM Data'!$K$6,0)</f>
        <v>5703</v>
      </c>
      <c r="I76" s="291">
        <f>ROUND('HEM Data'!$K$6,0)</f>
        <v>5703</v>
      </c>
      <c r="J76" s="291">
        <f>ROUND('HEM Data'!$K$6,0)</f>
        <v>5703</v>
      </c>
      <c r="K76" s="291">
        <f>ROUND('HEM Data'!$K$6,0)</f>
        <v>5703</v>
      </c>
      <c r="L76" s="291">
        <f>ROUND('HEM Data'!$K$9,0)</f>
        <v>3904</v>
      </c>
      <c r="M76" s="291">
        <f>ROUND('HEM Data'!$K$10,0)</f>
        <v>4407</v>
      </c>
      <c r="N76" s="291">
        <f>ROUND('HEM Data'!$K$11,0)</f>
        <v>4910</v>
      </c>
      <c r="O76" s="291">
        <f>ROUND('HEM Data'!$K$11,0)</f>
        <v>4910</v>
      </c>
      <c r="P76" s="291">
        <f>ROUND('HEM Data'!$K$11,0)</f>
        <v>4910</v>
      </c>
      <c r="Q76" s="291">
        <f>ROUND('HEM Data'!$K$11,0)</f>
        <v>4910</v>
      </c>
      <c r="R76" s="291">
        <f>ROUND('HEM Data'!$K$11,0)</f>
        <v>4910</v>
      </c>
      <c r="S76" s="291">
        <f>ROUND('HEM Data'!$K$11,0)</f>
        <v>4910</v>
      </c>
    </row>
    <row r="77" spans="1:19" ht="15" x14ac:dyDescent="0.25">
      <c r="A77" s="157">
        <f>'HEM Data'!L2</f>
        <v>210000</v>
      </c>
      <c r="B77" s="291">
        <f>ROUND('HEM Data'!$L$8,0)</f>
        <v>3769</v>
      </c>
      <c r="C77" s="291">
        <f>ROUND('HEM Data'!$L$3,0)</f>
        <v>5004</v>
      </c>
      <c r="D77" s="291">
        <f>ROUND('HEM Data'!$L$4,0)</f>
        <v>5424</v>
      </c>
      <c r="E77" s="291">
        <f>ROUND('HEM Data'!$L$5,0)</f>
        <v>5708</v>
      </c>
      <c r="F77" s="291">
        <f>ROUND('HEM Data'!$L$6,0)</f>
        <v>6003</v>
      </c>
      <c r="G77" s="291">
        <f>ROUND('HEM Data'!$L$6,0)</f>
        <v>6003</v>
      </c>
      <c r="H77" s="291">
        <f>ROUND('HEM Data'!$L$6,0)</f>
        <v>6003</v>
      </c>
      <c r="I77" s="291">
        <f>ROUND('HEM Data'!$L$6,0)</f>
        <v>6003</v>
      </c>
      <c r="J77" s="291">
        <f>ROUND('HEM Data'!$L$6,0)</f>
        <v>6003</v>
      </c>
      <c r="K77" s="291">
        <f>ROUND('HEM Data'!$L$6,0)</f>
        <v>6003</v>
      </c>
      <c r="L77" s="291">
        <f>ROUND('HEM Data'!$L$9,0)</f>
        <v>4203</v>
      </c>
      <c r="M77" s="291">
        <f>ROUND('HEM Data'!$L$10,0)</f>
        <v>4705</v>
      </c>
      <c r="N77" s="291">
        <f>ROUND('HEM Data'!$L$11,0)</f>
        <v>5208</v>
      </c>
      <c r="O77" s="291">
        <f>ROUND('HEM Data'!$L$11,0)</f>
        <v>5208</v>
      </c>
      <c r="P77" s="291">
        <f>ROUND('HEM Data'!$L$11,0)</f>
        <v>5208</v>
      </c>
      <c r="Q77" s="291">
        <f>ROUND('HEM Data'!$L$11,0)</f>
        <v>5208</v>
      </c>
      <c r="R77" s="291">
        <f>ROUND('HEM Data'!$L$11,0)</f>
        <v>5208</v>
      </c>
      <c r="S77" s="291">
        <f>ROUND('HEM Data'!$L$11,0)</f>
        <v>5208</v>
      </c>
    </row>
    <row r="78" spans="1:19" ht="15" x14ac:dyDescent="0.25">
      <c r="A78" s="157">
        <f>'HEM Data'!M2</f>
        <v>262000</v>
      </c>
      <c r="B78" s="291">
        <f>ROUND('HEM Data'!$M$8,0)</f>
        <v>4300</v>
      </c>
      <c r="C78" s="291">
        <f>ROUND('HEM Data'!$M$3,0)</f>
        <v>5534</v>
      </c>
      <c r="D78" s="291">
        <f>ROUND('HEM Data'!$M$4,0)</f>
        <v>5956</v>
      </c>
      <c r="E78" s="291">
        <f>ROUND('HEM Data'!$M$5,0)</f>
        <v>6237</v>
      </c>
      <c r="F78" s="291">
        <f>ROUND('HEM Data'!$M$6,0)</f>
        <v>6532</v>
      </c>
      <c r="G78" s="291">
        <f>ROUND('HEM Data'!$M$6,0)</f>
        <v>6532</v>
      </c>
      <c r="H78" s="291">
        <f>ROUND('HEM Data'!$M$6,0)</f>
        <v>6532</v>
      </c>
      <c r="I78" s="291">
        <f>ROUND('HEM Data'!$M$6,0)</f>
        <v>6532</v>
      </c>
      <c r="J78" s="291">
        <f>ROUND('HEM Data'!$M$6,0)</f>
        <v>6532</v>
      </c>
      <c r="K78" s="291">
        <f>ROUND('HEM Data'!$M$6,0)</f>
        <v>6532</v>
      </c>
      <c r="L78" s="291">
        <f>ROUND('HEM Data'!$M$9,0)</f>
        <v>4730</v>
      </c>
      <c r="M78" s="291">
        <f>ROUND('HEM Data'!$M$10,0)</f>
        <v>5232</v>
      </c>
      <c r="N78" s="291">
        <f>ROUND('HEM Data'!$M$11,0)</f>
        <v>5734</v>
      </c>
      <c r="O78" s="291">
        <f>ROUND('HEM Data'!$M$11,0)</f>
        <v>5734</v>
      </c>
      <c r="P78" s="291">
        <f>ROUND('HEM Data'!$M$11,0)</f>
        <v>5734</v>
      </c>
      <c r="Q78" s="291">
        <f>ROUND('HEM Data'!$M$11,0)</f>
        <v>5734</v>
      </c>
      <c r="R78" s="291">
        <f>ROUND('HEM Data'!$M$11,0)</f>
        <v>5734</v>
      </c>
      <c r="S78" s="291">
        <f>ROUND('HEM Data'!$M$11,0)</f>
        <v>5734</v>
      </c>
    </row>
    <row r="79" spans="1:19" ht="15" x14ac:dyDescent="0.25">
      <c r="A79" s="157">
        <f>'HEM Data'!N2</f>
        <v>328000</v>
      </c>
      <c r="B79" s="291">
        <f>ROUND('HEM Data'!$N$8,0)</f>
        <v>5086</v>
      </c>
      <c r="C79" s="291">
        <f>ROUND('HEM Data'!$N$3,0)</f>
        <v>6318</v>
      </c>
      <c r="D79" s="291">
        <f>ROUND('HEM Data'!$N$4,0)</f>
        <v>6744</v>
      </c>
      <c r="E79" s="291">
        <f>ROUND('HEM Data'!$N$5,0)</f>
        <v>7020</v>
      </c>
      <c r="F79" s="291">
        <f>ROUND('HEM Data'!$N$6,0)</f>
        <v>7314</v>
      </c>
      <c r="G79" s="291">
        <f>ROUND('HEM Data'!$N$6,0)</f>
        <v>7314</v>
      </c>
      <c r="H79" s="291">
        <f>ROUND('HEM Data'!$N$6,0)</f>
        <v>7314</v>
      </c>
      <c r="I79" s="291">
        <f>ROUND('HEM Data'!$N$6,0)</f>
        <v>7314</v>
      </c>
      <c r="J79" s="291">
        <f>ROUND('HEM Data'!$N$6,0)</f>
        <v>7314</v>
      </c>
      <c r="K79" s="291">
        <f>ROUND('HEM Data'!$N$6,0)</f>
        <v>7314</v>
      </c>
      <c r="L79" s="291">
        <f>ROUND('HEM Data'!$N$9,0)</f>
        <v>5510</v>
      </c>
      <c r="M79" s="291">
        <f>ROUND('HEM Data'!$N$10,0)</f>
        <v>6011</v>
      </c>
      <c r="N79" s="291">
        <f>ROUND('HEM Data'!$N$11,0)</f>
        <v>6512</v>
      </c>
      <c r="O79" s="291">
        <f>ROUND('HEM Data'!$N$11,0)</f>
        <v>6512</v>
      </c>
      <c r="P79" s="291">
        <f>ROUND('HEM Data'!$N$11,0)</f>
        <v>6512</v>
      </c>
      <c r="Q79" s="291">
        <f>ROUND('HEM Data'!$N$11,0)</f>
        <v>6512</v>
      </c>
      <c r="R79" s="291">
        <f>ROUND('HEM Data'!$N$11,0)</f>
        <v>6512</v>
      </c>
      <c r="S79" s="291">
        <f>ROUND('HEM Data'!$N$11,0)</f>
        <v>6512</v>
      </c>
    </row>
    <row r="80" spans="1:19" ht="15" x14ac:dyDescent="0.25">
      <c r="A80" s="157">
        <f>'HEM Data'!O2</f>
        <v>394000</v>
      </c>
      <c r="B80" s="291">
        <f>ROUND('HEM Data'!$O$8,0)</f>
        <v>5153</v>
      </c>
      <c r="C80" s="291">
        <f>ROUND('HEM Data'!$O$3,0)</f>
        <v>6386</v>
      </c>
      <c r="D80" s="291">
        <f>ROUND('HEM Data'!$O$4,0)</f>
        <v>6812</v>
      </c>
      <c r="E80" s="291">
        <f>ROUND('HEM Data'!$O$5,0)</f>
        <v>7087</v>
      </c>
      <c r="F80" s="291">
        <f>ROUND('HEM Data'!$O$6,0)</f>
        <v>7381</v>
      </c>
      <c r="G80" s="291">
        <f>ROUND('HEM Data'!$O$6,0)</f>
        <v>7381</v>
      </c>
      <c r="H80" s="291">
        <f>ROUND('HEM Data'!$O$6,0)</f>
        <v>7381</v>
      </c>
      <c r="I80" s="291">
        <f>ROUND('HEM Data'!$O$6,0)</f>
        <v>7381</v>
      </c>
      <c r="J80" s="291">
        <f>ROUND('HEM Data'!$O$6,0)</f>
        <v>7381</v>
      </c>
      <c r="K80" s="291">
        <f>ROUND('HEM Data'!$O$6,0)</f>
        <v>7381</v>
      </c>
      <c r="L80" s="291">
        <f>ROUND('HEM Data'!$O$9,0)</f>
        <v>5577</v>
      </c>
      <c r="M80" s="291">
        <f>ROUND('HEM Data'!$O$10,0)</f>
        <v>6078</v>
      </c>
      <c r="N80" s="291">
        <f>ROUND('HEM Data'!$O$11,0)</f>
        <v>6579</v>
      </c>
      <c r="O80" s="291">
        <f>ROUND('HEM Data'!$O$11,0)</f>
        <v>6579</v>
      </c>
      <c r="P80" s="291">
        <f>ROUND('HEM Data'!$O$11,0)</f>
        <v>6579</v>
      </c>
      <c r="Q80" s="291">
        <f>ROUND('HEM Data'!$O$11,0)</f>
        <v>6579</v>
      </c>
      <c r="R80" s="291">
        <f>ROUND('HEM Data'!$O$11,0)</f>
        <v>6579</v>
      </c>
      <c r="S80" s="291">
        <f>ROUND('HEM Data'!$O$11,0)</f>
        <v>6579</v>
      </c>
    </row>
    <row r="81" spans="1:19" ht="15" x14ac:dyDescent="0.25">
      <c r="A81" s="157"/>
      <c r="B81" s="291">
        <f>ROUND('HEM Data'!$P$8,0)</f>
        <v>0</v>
      </c>
      <c r="C81" s="291">
        <f>ROUND('HEM Data'!$P$3,0)</f>
        <v>0</v>
      </c>
      <c r="D81" s="291">
        <f>ROUND('HEM Data'!$P$4,0)</f>
        <v>0</v>
      </c>
      <c r="E81" s="291">
        <f>ROUND('HEM Data'!$P$5,0)</f>
        <v>0</v>
      </c>
      <c r="F81" s="291">
        <f>ROUND('HEM Data'!$P$6,0)</f>
        <v>0</v>
      </c>
      <c r="G81" s="291">
        <f>ROUND('HEM Data'!$P$6,0)</f>
        <v>0</v>
      </c>
      <c r="H81" s="291">
        <f>ROUND('HEM Data'!$P$6,0)</f>
        <v>0</v>
      </c>
      <c r="I81" s="291">
        <f>ROUND('HEM Data'!$P$6,0)</f>
        <v>0</v>
      </c>
      <c r="J81" s="291">
        <f>ROUND('HEM Data'!$P$6,0)</f>
        <v>0</v>
      </c>
      <c r="K81" s="291">
        <f>ROUND('HEM Data'!$P$6,0)</f>
        <v>0</v>
      </c>
      <c r="L81" s="291">
        <f>ROUND('HEM Data'!$P$9,0)</f>
        <v>0</v>
      </c>
      <c r="M81" s="291">
        <f>ROUND('HEM Data'!$P$10,0)</f>
        <v>0</v>
      </c>
      <c r="N81" s="291">
        <f>ROUND('HEM Data'!$P$11,0)</f>
        <v>0</v>
      </c>
      <c r="O81" s="291">
        <f>ROUND('HEM Data'!$P$11,0)</f>
        <v>0</v>
      </c>
      <c r="P81" s="291">
        <f>ROUND('HEM Data'!$P$11,0)</f>
        <v>0</v>
      </c>
      <c r="Q81" s="291">
        <f>ROUND('HEM Data'!$P$11,0)</f>
        <v>0</v>
      </c>
      <c r="R81" s="291">
        <f>ROUND('HEM Data'!$P$11,0)</f>
        <v>0</v>
      </c>
      <c r="S81" s="291">
        <f>ROUND('HEM Data'!$P$11,0)</f>
        <v>0</v>
      </c>
    </row>
    <row r="82" spans="1:19" ht="15" x14ac:dyDescent="0.25">
      <c r="A82" s="157"/>
      <c r="B82" s="291">
        <f>ROUND('HEM Data'!$Q$8,0)</f>
        <v>0</v>
      </c>
      <c r="C82" s="291">
        <f>ROUND('HEM Data'!$Q$3,0)</f>
        <v>0</v>
      </c>
      <c r="D82" s="291">
        <f>ROUND('HEM Data'!$Q$4,0)</f>
        <v>0</v>
      </c>
      <c r="E82" s="291">
        <f>ROUND('HEM Data'!$Q$5,0)</f>
        <v>0</v>
      </c>
      <c r="F82" s="291">
        <f>ROUND('HEM Data'!$Q$6,0)</f>
        <v>0</v>
      </c>
      <c r="G82" s="291">
        <f>ROUND('HEM Data'!$Q$6,0)</f>
        <v>0</v>
      </c>
      <c r="H82" s="291">
        <f>ROUND('HEM Data'!$Q$6,0)</f>
        <v>0</v>
      </c>
      <c r="I82" s="291">
        <f>ROUND('HEM Data'!$Q$6,0)</f>
        <v>0</v>
      </c>
      <c r="J82" s="291">
        <f>ROUND('HEM Data'!$Q$6,0)</f>
        <v>0</v>
      </c>
      <c r="K82" s="291">
        <f>ROUND('HEM Data'!$Q$6,0)</f>
        <v>0</v>
      </c>
      <c r="L82" s="291">
        <f>ROUND('HEM Data'!$Q$9,0)</f>
        <v>0</v>
      </c>
      <c r="M82" s="291">
        <f>ROUND('HEM Data'!$Q$10,0)</f>
        <v>0</v>
      </c>
      <c r="N82" s="291">
        <f>ROUND('HEM Data'!$Q$11,0)</f>
        <v>0</v>
      </c>
      <c r="O82" s="291">
        <f>ROUND('HEM Data'!$Q$11,0)</f>
        <v>0</v>
      </c>
      <c r="P82" s="291">
        <f>ROUND('HEM Data'!$Q$11,0)</f>
        <v>0</v>
      </c>
      <c r="Q82" s="291">
        <f>ROUND('HEM Data'!$Q$11,0)</f>
        <v>0</v>
      </c>
      <c r="R82" s="291">
        <f>ROUND('HEM Data'!$Q$11,0)</f>
        <v>0</v>
      </c>
      <c r="S82" s="291">
        <f>ROUND('HEM Data'!$Q$11,0)</f>
        <v>0</v>
      </c>
    </row>
    <row r="83" spans="1:19" ht="15" x14ac:dyDescent="0.25">
      <c r="A83" s="157"/>
      <c r="B83" s="291">
        <f>ROUND('HEM Data'!$R$8,0)</f>
        <v>0</v>
      </c>
      <c r="C83" s="291">
        <f>ROUND('HEM Data'!$R$3,0)</f>
        <v>0</v>
      </c>
      <c r="D83" s="291">
        <f>ROUND('HEM Data'!$R$4,0)</f>
        <v>0</v>
      </c>
      <c r="E83" s="291">
        <f>ROUND('HEM Data'!$R$5,0)</f>
        <v>0</v>
      </c>
      <c r="F83" s="291">
        <f>ROUND('HEM Data'!$R$6,0)</f>
        <v>0</v>
      </c>
      <c r="G83" s="291">
        <f>ROUND('HEM Data'!$R$6,0)</f>
        <v>0</v>
      </c>
      <c r="H83" s="291">
        <f>ROUND('HEM Data'!$R$6,0)</f>
        <v>0</v>
      </c>
      <c r="I83" s="291">
        <f>ROUND('HEM Data'!$R$6,0)</f>
        <v>0</v>
      </c>
      <c r="J83" s="291">
        <f>ROUND('HEM Data'!$R$6,0)</f>
        <v>0</v>
      </c>
      <c r="K83" s="291">
        <f>ROUND('HEM Data'!$R$6,0)</f>
        <v>0</v>
      </c>
      <c r="L83" s="291">
        <f>ROUND('HEM Data'!$R$9,0)</f>
        <v>0</v>
      </c>
      <c r="M83" s="291">
        <f>ROUND('HEM Data'!$R$10,0)</f>
        <v>0</v>
      </c>
      <c r="N83" s="291">
        <f>ROUND('HEM Data'!$R$11,0)</f>
        <v>0</v>
      </c>
      <c r="O83" s="291">
        <f>ROUND('HEM Data'!$R$11,0)</f>
        <v>0</v>
      </c>
      <c r="P83" s="291">
        <f>ROUND('HEM Data'!$R$11,0)</f>
        <v>0</v>
      </c>
      <c r="Q83" s="291">
        <f>ROUND('HEM Data'!$R$11,0)</f>
        <v>0</v>
      </c>
      <c r="R83" s="291">
        <f>ROUND('HEM Data'!$R$11,0)</f>
        <v>0</v>
      </c>
      <c r="S83" s="291">
        <f>ROUND('HEM Data'!$R$11,0)</f>
        <v>0</v>
      </c>
    </row>
    <row r="84" spans="1:19" ht="15" x14ac:dyDescent="0.25">
      <c r="A84" s="26"/>
      <c r="B84" s="35"/>
      <c r="C84" s="35"/>
      <c r="D84" s="35"/>
      <c r="E84" s="35"/>
      <c r="F84" s="35"/>
      <c r="G84" s="35"/>
      <c r="H84" s="35"/>
      <c r="I84" s="35"/>
      <c r="J84" s="35"/>
      <c r="K84" s="35"/>
      <c r="L84" s="35"/>
      <c r="M84" s="35"/>
      <c r="N84" s="35"/>
      <c r="O84" s="35"/>
      <c r="P84" s="35"/>
      <c r="Q84" s="35"/>
      <c r="R84" s="35"/>
      <c r="S84" s="35"/>
    </row>
    <row r="85" spans="1:19" ht="15" x14ac:dyDescent="0.25">
      <c r="A85" s="26"/>
      <c r="B85" s="35"/>
      <c r="C85" s="35"/>
      <c r="D85" s="35"/>
      <c r="E85" s="35"/>
      <c r="F85" s="35"/>
      <c r="G85" s="35"/>
      <c r="H85" s="35"/>
      <c r="I85" s="35"/>
      <c r="J85" s="35"/>
      <c r="K85" s="35"/>
      <c r="L85" s="35"/>
      <c r="M85" s="35"/>
      <c r="N85" s="35"/>
      <c r="O85" s="35"/>
      <c r="P85" s="35"/>
      <c r="Q85" s="35"/>
      <c r="R85" s="35"/>
      <c r="S85" s="35"/>
    </row>
    <row r="86" spans="1:19" ht="15" x14ac:dyDescent="0.25">
      <c r="A86" s="26"/>
      <c r="B86" s="35"/>
      <c r="C86" s="35"/>
      <c r="D86" s="35"/>
      <c r="E86" s="35"/>
      <c r="F86" s="35"/>
      <c r="G86" s="35"/>
      <c r="H86" s="35"/>
      <c r="I86" s="35"/>
      <c r="J86" s="35"/>
      <c r="K86" s="35"/>
      <c r="L86" s="35"/>
      <c r="M86" s="35"/>
      <c r="N86" s="35"/>
      <c r="O86" s="35"/>
      <c r="P86" s="35"/>
      <c r="Q86" s="35"/>
      <c r="R86" s="35"/>
      <c r="S86" s="35"/>
    </row>
    <row r="87" spans="1:19" ht="15" x14ac:dyDescent="0.25">
      <c r="A87" s="26"/>
      <c r="B87" s="35"/>
      <c r="C87" s="35"/>
      <c r="D87" s="35"/>
      <c r="E87" s="35"/>
      <c r="F87" s="35"/>
      <c r="G87" s="35"/>
      <c r="H87" s="35"/>
      <c r="I87" s="35"/>
      <c r="J87" s="35"/>
      <c r="K87" s="35"/>
      <c r="L87" s="35"/>
      <c r="M87" s="35"/>
      <c r="N87" s="35"/>
      <c r="O87" s="35"/>
      <c r="P87" s="35"/>
      <c r="Q87" s="35"/>
      <c r="R87" s="35"/>
      <c r="S87" s="35"/>
    </row>
    <row r="88" spans="1:19" ht="15" x14ac:dyDescent="0.25">
      <c r="A88" s="26"/>
      <c r="B88" s="35"/>
      <c r="C88" s="35"/>
      <c r="D88" s="35"/>
      <c r="E88" s="35"/>
      <c r="F88" s="35"/>
      <c r="G88" s="35"/>
      <c r="H88" s="35"/>
      <c r="I88" s="35"/>
      <c r="J88" s="35"/>
      <c r="K88" s="35"/>
      <c r="L88" s="35"/>
      <c r="M88" s="35"/>
      <c r="N88" s="35"/>
      <c r="O88" s="35"/>
      <c r="P88" s="35"/>
      <c r="Q88" s="35"/>
      <c r="R88" s="35"/>
      <c r="S88" s="35"/>
    </row>
    <row r="89" spans="1:19" ht="15" x14ac:dyDescent="0.25">
      <c r="A89" s="26"/>
      <c r="B89" s="35"/>
      <c r="C89" s="35"/>
      <c r="D89" s="35"/>
      <c r="E89" s="35"/>
      <c r="F89" s="35"/>
      <c r="G89" s="35"/>
      <c r="H89" s="35"/>
      <c r="I89" s="35"/>
      <c r="J89" s="35"/>
      <c r="K89" s="35"/>
      <c r="L89" s="35"/>
      <c r="M89" s="35"/>
      <c r="N89" s="35"/>
      <c r="O89" s="35"/>
      <c r="P89" s="35"/>
      <c r="Q89" s="35"/>
      <c r="R89" s="35"/>
      <c r="S89" s="35"/>
    </row>
    <row r="90" spans="1:19" ht="15" x14ac:dyDescent="0.25">
      <c r="A90" s="26"/>
      <c r="B90" s="35"/>
      <c r="C90" s="35"/>
      <c r="D90" s="35"/>
      <c r="E90" s="35"/>
      <c r="F90" s="35"/>
      <c r="G90" s="35"/>
      <c r="H90" s="35"/>
      <c r="I90" s="35"/>
      <c r="J90" s="35"/>
      <c r="K90" s="35"/>
      <c r="L90" s="35"/>
      <c r="M90" s="35"/>
      <c r="N90" s="35"/>
      <c r="O90" s="35"/>
      <c r="P90" s="35"/>
      <c r="Q90" s="35"/>
      <c r="R90" s="35"/>
      <c r="S90" s="35"/>
    </row>
    <row r="91" spans="1:19" ht="15" x14ac:dyDescent="0.25">
      <c r="A91" s="26"/>
      <c r="B91" s="35"/>
      <c r="C91" s="35"/>
      <c r="D91" s="35"/>
      <c r="E91" s="35"/>
      <c r="F91" s="35"/>
      <c r="G91" s="35"/>
      <c r="H91" s="35"/>
      <c r="I91" s="35"/>
      <c r="J91" s="35"/>
      <c r="K91" s="35"/>
      <c r="L91" s="35"/>
      <c r="M91" s="35"/>
      <c r="N91" s="35"/>
      <c r="O91" s="35"/>
      <c r="P91" s="35"/>
      <c r="Q91" s="35"/>
      <c r="R91" s="35"/>
      <c r="S91" s="35"/>
    </row>
    <row r="92" spans="1:19" ht="15" x14ac:dyDescent="0.25">
      <c r="A92" s="26"/>
      <c r="B92" s="35"/>
      <c r="C92" s="35"/>
      <c r="D92" s="35"/>
      <c r="E92" s="35"/>
      <c r="F92" s="35"/>
      <c r="G92" s="35"/>
      <c r="H92" s="35"/>
      <c r="I92" s="35"/>
      <c r="J92" s="35"/>
      <c r="K92" s="35"/>
      <c r="L92" s="35"/>
      <c r="M92" s="35"/>
      <c r="N92" s="35"/>
      <c r="O92" s="35"/>
      <c r="P92" s="35"/>
      <c r="Q92" s="35"/>
      <c r="R92" s="35"/>
      <c r="S92" s="35"/>
    </row>
  </sheetData>
  <dataConsolidate/>
  <mergeCells count="17">
    <mergeCell ref="F21:G21"/>
    <mergeCell ref="A1:E1"/>
    <mergeCell ref="B7:C7"/>
    <mergeCell ref="A3:C3"/>
    <mergeCell ref="A31:B31"/>
    <mergeCell ref="F7:G7"/>
    <mergeCell ref="D7:E7"/>
    <mergeCell ref="A29:B29"/>
    <mergeCell ref="A8:A11"/>
    <mergeCell ref="A30:B30"/>
    <mergeCell ref="B14:C14"/>
    <mergeCell ref="A15:A18"/>
    <mergeCell ref="B21:C21"/>
    <mergeCell ref="A22:A25"/>
    <mergeCell ref="D14:E14"/>
    <mergeCell ref="F14:G14"/>
    <mergeCell ref="D21:E21"/>
  </mergeCells>
  <phoneticPr fontId="0" type="noConversion"/>
  <printOptions horizontalCentered="1"/>
  <pageMargins left="0.31496062992125984" right="0.31496062992125984" top="0.62992125984251968" bottom="0.39370078740157483" header="0.35433070866141736" footer="0"/>
  <pageSetup paperSize="9" scale="73"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Button 2">
              <controlPr defaultSize="0" print="0" autoFill="0" autoPict="0" macro="[0]!Print_Calcs_Reference">
                <anchor moveWithCells="1" sizeWithCells="1">
                  <from>
                    <xdr:col>4</xdr:col>
                    <xdr:colOff>619125</xdr:colOff>
                    <xdr:row>2</xdr:row>
                    <xdr:rowOff>28575</xdr:rowOff>
                  </from>
                  <to>
                    <xdr:col>5</xdr:col>
                    <xdr:colOff>904875</xdr:colOff>
                    <xdr:row>4</xdr:row>
                    <xdr:rowOff>123825</xdr:rowOff>
                  </to>
                </anchor>
              </controlPr>
            </control>
          </mc:Choice>
        </mc:AlternateContent>
        <mc:AlternateContent xmlns:mc="http://schemas.openxmlformats.org/markup-compatibility/2006">
          <mc:Choice Requires="x14">
            <control shapeId="5123" r:id="rId5" name="Button 3">
              <controlPr defaultSize="0" print="0" autoFill="0" autoPict="0" macro="[0]!Zoom_View_Calcs_Ref">
                <anchor moveWithCells="1" sizeWithCells="1">
                  <from>
                    <xdr:col>3</xdr:col>
                    <xdr:colOff>76200</xdr:colOff>
                    <xdr:row>2</xdr:row>
                    <xdr:rowOff>28575</xdr:rowOff>
                  </from>
                  <to>
                    <xdr:col>4</xdr:col>
                    <xdr:colOff>238125</xdr:colOff>
                    <xdr:row>4</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34998626667073579"/>
  </sheetPr>
  <dimension ref="A1:K58"/>
  <sheetViews>
    <sheetView topLeftCell="A18" workbookViewId="0">
      <selection activeCell="I20" sqref="I20"/>
    </sheetView>
  </sheetViews>
  <sheetFormatPr defaultRowHeight="12.75" x14ac:dyDescent="0.2"/>
  <cols>
    <col min="1" max="1" width="18.5703125" customWidth="1"/>
    <col min="2" max="2" width="28.7109375" customWidth="1"/>
    <col min="3" max="3" width="18.5703125" customWidth="1"/>
  </cols>
  <sheetData>
    <row r="1" spans="1:11" x14ac:dyDescent="0.2">
      <c r="A1" s="519" t="s">
        <v>236</v>
      </c>
      <c r="B1" s="520"/>
      <c r="C1" s="521"/>
    </row>
    <row r="2" spans="1:11" ht="25.5" x14ac:dyDescent="0.2">
      <c r="A2" s="1" t="s">
        <v>237</v>
      </c>
      <c r="B2" s="1" t="s">
        <v>208</v>
      </c>
      <c r="C2" s="1" t="s">
        <v>210</v>
      </c>
    </row>
    <row r="3" spans="1:11" x14ac:dyDescent="0.2">
      <c r="A3" s="292">
        <v>0</v>
      </c>
      <c r="B3" s="293">
        <v>0</v>
      </c>
      <c r="C3" s="294">
        <v>0</v>
      </c>
    </row>
    <row r="4" spans="1:11" x14ac:dyDescent="0.2">
      <c r="A4" s="295">
        <v>18201</v>
      </c>
      <c r="B4" s="296">
        <f>(A4-A3)*C3+B3</f>
        <v>0</v>
      </c>
      <c r="C4" s="297">
        <v>0.16</v>
      </c>
    </row>
    <row r="5" spans="1:11" x14ac:dyDescent="0.2">
      <c r="A5" s="295">
        <v>45001</v>
      </c>
      <c r="B5" s="296">
        <f>(A5-A4)*C4+B4</f>
        <v>4288</v>
      </c>
      <c r="C5" s="297">
        <v>0.3</v>
      </c>
    </row>
    <row r="6" spans="1:11" x14ac:dyDescent="0.2">
      <c r="A6" s="295">
        <v>135001</v>
      </c>
      <c r="B6" s="296">
        <f>(A6-A5)*C5+B5</f>
        <v>31288</v>
      </c>
      <c r="C6" s="297">
        <v>0.37</v>
      </c>
    </row>
    <row r="7" spans="1:11" x14ac:dyDescent="0.2">
      <c r="A7" s="298">
        <v>190001</v>
      </c>
      <c r="B7" s="296">
        <f>(A7-A6)*C6+B6</f>
        <v>51638</v>
      </c>
      <c r="C7" s="299">
        <v>0.45</v>
      </c>
    </row>
    <row r="8" spans="1:11" x14ac:dyDescent="0.2">
      <c r="A8" s="522" t="s">
        <v>213</v>
      </c>
      <c r="B8" s="521"/>
      <c r="C8" s="300">
        <v>0.02</v>
      </c>
    </row>
    <row r="9" spans="1:11" x14ac:dyDescent="0.2">
      <c r="A9" s="522" t="s">
        <v>238</v>
      </c>
      <c r="B9" s="521"/>
      <c r="C9" s="300">
        <v>0.3</v>
      </c>
    </row>
    <row r="10" spans="1:11" x14ac:dyDescent="0.2">
      <c r="A10" s="522" t="s">
        <v>192</v>
      </c>
      <c r="B10" s="521"/>
      <c r="C10" s="300">
        <v>0.8</v>
      </c>
      <c r="D10" s="517" t="s">
        <v>193</v>
      </c>
      <c r="E10" s="518"/>
      <c r="F10" s="518"/>
      <c r="G10" s="300">
        <v>0.6</v>
      </c>
    </row>
    <row r="11" spans="1:11" x14ac:dyDescent="0.2">
      <c r="A11" s="522" t="s">
        <v>239</v>
      </c>
      <c r="B11" s="521"/>
      <c r="C11" s="300">
        <v>0.2</v>
      </c>
    </row>
    <row r="12" spans="1:11" ht="13.5" thickBot="1" x14ac:dyDescent="0.25">
      <c r="A12" s="522" t="s">
        <v>240</v>
      </c>
      <c r="B12" s="521"/>
      <c r="C12" s="301">
        <v>5.5E-2</v>
      </c>
    </row>
    <row r="13" spans="1:11" ht="13.5" thickBot="1" x14ac:dyDescent="0.25">
      <c r="A13" s="184" t="s">
        <v>241</v>
      </c>
      <c r="B13" s="158"/>
      <c r="C13" s="302">
        <v>5.2499999999999998E-2</v>
      </c>
    </row>
    <row r="14" spans="1:11" x14ac:dyDescent="0.2">
      <c r="A14" s="159" t="s">
        <v>242</v>
      </c>
      <c r="B14" s="158"/>
      <c r="C14" s="303">
        <f>Main!F20</f>
        <v>360</v>
      </c>
      <c r="D14" s="160" t="s">
        <v>243</v>
      </c>
      <c r="F14" s="161">
        <v>360</v>
      </c>
      <c r="G14" s="161">
        <v>300</v>
      </c>
      <c r="H14" s="161">
        <v>240</v>
      </c>
      <c r="I14" s="161">
        <v>180</v>
      </c>
      <c r="J14" s="161">
        <v>120</v>
      </c>
      <c r="K14" s="161">
        <v>60</v>
      </c>
    </row>
    <row r="15" spans="1:11" x14ac:dyDescent="0.2">
      <c r="A15" s="159" t="s">
        <v>244</v>
      </c>
      <c r="B15" s="158"/>
      <c r="C15" s="304">
        <f>Main!F21</f>
        <v>300</v>
      </c>
      <c r="D15" s="160" t="s">
        <v>243</v>
      </c>
      <c r="F15" s="161">
        <v>300</v>
      </c>
      <c r="G15" s="161">
        <v>240</v>
      </c>
      <c r="H15" s="161">
        <v>180</v>
      </c>
      <c r="I15" s="161">
        <v>120</v>
      </c>
      <c r="J15" s="161">
        <v>60</v>
      </c>
      <c r="K15" s="161"/>
    </row>
    <row r="16" spans="1:11" x14ac:dyDescent="0.2">
      <c r="A16" s="519" t="s">
        <v>245</v>
      </c>
      <c r="B16" s="520"/>
      <c r="C16" s="521"/>
    </row>
    <row r="17" spans="1:5" x14ac:dyDescent="0.2">
      <c r="A17" s="523" t="s">
        <v>246</v>
      </c>
      <c r="B17" s="524"/>
      <c r="C17" s="37" t="s">
        <v>247</v>
      </c>
    </row>
    <row r="18" spans="1:5" x14ac:dyDescent="0.2">
      <c r="A18" s="523" t="s">
        <v>248</v>
      </c>
      <c r="B18" s="524"/>
      <c r="C18" s="37" t="s">
        <v>247</v>
      </c>
    </row>
    <row r="19" spans="1:5" x14ac:dyDescent="0.2">
      <c r="A19" s="525" t="s">
        <v>249</v>
      </c>
      <c r="B19" s="524"/>
      <c r="C19" s="37" t="s">
        <v>247</v>
      </c>
    </row>
    <row r="20" spans="1:5" x14ac:dyDescent="0.2">
      <c r="A20" s="523" t="s">
        <v>147</v>
      </c>
      <c r="B20" s="529"/>
      <c r="C20" s="305">
        <f>(Living_Expenses)*12</f>
        <v>58812</v>
      </c>
      <c r="D20" s="305">
        <f>Living_Exp_for_ARA*12</f>
        <v>58812</v>
      </c>
    </row>
    <row r="21" spans="1:5" x14ac:dyDescent="0.2">
      <c r="A21" s="519" t="s">
        <v>250</v>
      </c>
      <c r="B21" s="528"/>
      <c r="C21" s="300">
        <v>3.2000000000000001E-2</v>
      </c>
    </row>
    <row r="22" spans="1:5" x14ac:dyDescent="0.2">
      <c r="A22" s="519" t="s">
        <v>251</v>
      </c>
      <c r="B22" s="528"/>
      <c r="C22" s="300">
        <v>3.5000000000000003E-2</v>
      </c>
    </row>
    <row r="23" spans="1:5" x14ac:dyDescent="0.2">
      <c r="A23" s="519" t="s">
        <v>252</v>
      </c>
      <c r="B23" s="528"/>
      <c r="C23" s="300">
        <v>3.7499999999999999E-2</v>
      </c>
    </row>
    <row r="24" spans="1:5" ht="13.5" thickBot="1" x14ac:dyDescent="0.25">
      <c r="A24" s="519" t="s">
        <v>253</v>
      </c>
      <c r="B24" s="528"/>
      <c r="C24" s="301">
        <v>0.01</v>
      </c>
    </row>
    <row r="25" spans="1:5" ht="13.5" thickBot="1" x14ac:dyDescent="0.25">
      <c r="A25" s="526" t="s">
        <v>254</v>
      </c>
      <c r="B25" s="527"/>
      <c r="C25" s="302">
        <f>MAX((Minimum_Servicing_Test_Rate+SVR),(Minimum_Servicing_Test_Rate+Loan_Interest_Rate))</f>
        <v>8.09E-2</v>
      </c>
      <c r="E25">
        <f>IF(Main!C13="Variable",(Minimum_Servicing_Test_Rate+Loan_Interest_Rate),(SVR+Loan_Interest_Rate))</f>
        <v>8.929999999999999E-2</v>
      </c>
    </row>
    <row r="26" spans="1:5" x14ac:dyDescent="0.2">
      <c r="A26" s="530" t="str">
        <f>+"Standard Variable Rate is set to "&amp;TEXT(SVR,"##0.00%")&amp;"p.a."</f>
        <v>Standard Variable Rate is set to 3.84%p.a.</v>
      </c>
      <c r="B26" s="531"/>
      <c r="C26" s="532"/>
    </row>
    <row r="27" spans="1:5" x14ac:dyDescent="0.2">
      <c r="A27" s="546" t="str">
        <f>+"Proposed Loan Interest Rate is "&amp;TEXT(Loan_Interest_Rate,"##0.00%")&amp;"p.a."</f>
        <v>Proposed Loan Interest Rate is 5.09%p.a.</v>
      </c>
      <c r="B27" s="547"/>
      <c r="C27" s="532"/>
    </row>
    <row r="28" spans="1:5" x14ac:dyDescent="0.2">
      <c r="A28" s="546" t="str">
        <f>+"Buffer is set to "&amp;TEXT(Minimum_Servicing_Test_Rate,"##0.00%")&amp;"p.a."</f>
        <v>Buffer is set to 3.00%p.a.</v>
      </c>
      <c r="B28" s="547"/>
      <c r="C28" s="532"/>
    </row>
    <row r="29" spans="1:5" x14ac:dyDescent="0.2">
      <c r="A29" s="543" t="str">
        <f>+"Interest Rate used in this ARA Calculation is "&amp;TEXT(NSRInterestRate,"##0.00%")&amp;"p.a."</f>
        <v>Interest Rate used in this ARA Calculation is 8.09%p.a.</v>
      </c>
      <c r="B29" s="544"/>
      <c r="C29" s="545"/>
    </row>
    <row r="30" spans="1:5" x14ac:dyDescent="0.2">
      <c r="A30" s="525" t="s">
        <v>255</v>
      </c>
      <c r="B30" s="524"/>
      <c r="C30" s="306">
        <f>IF((TOTAL_COSTS-Applicable_Living_Expenses)=0,0,ROUND((Total_Net_Annual_Income-Applicable_Living_Expenses)/(TOTAL_COSTS-Applicable_Living_Expenses),6))</f>
        <v>3.851353</v>
      </c>
    </row>
    <row r="31" spans="1:5" x14ac:dyDescent="0.2">
      <c r="A31" s="523" t="s">
        <v>256</v>
      </c>
      <c r="B31" s="524"/>
      <c r="C31" s="2" t="str">
        <f>TEXT(ROUND(NSRCalculated,4),"##0.0000")&amp;":1"</f>
        <v>3.8514:1</v>
      </c>
    </row>
    <row r="32" spans="1:5" x14ac:dyDescent="0.2">
      <c r="A32" s="523" t="s">
        <v>257</v>
      </c>
      <c r="B32" s="524"/>
      <c r="C32" s="307">
        <v>1</v>
      </c>
    </row>
    <row r="33" spans="1:5" x14ac:dyDescent="0.2">
      <c r="A33" s="523" t="s">
        <v>258</v>
      </c>
      <c r="B33" s="524"/>
      <c r="C33" s="2" t="str">
        <f>TEXT(ROUND(NSRRequired,4),"##0.0000")&amp;":1"</f>
        <v>1.0000:1</v>
      </c>
    </row>
    <row r="34" spans="1:5" x14ac:dyDescent="0.2">
      <c r="A34" s="541" t="s">
        <v>259</v>
      </c>
      <c r="B34" s="541"/>
      <c r="C34" s="3">
        <f>IF(NSRCalculated&lt;NSRRequired,0,1)</f>
        <v>1</v>
      </c>
    </row>
    <row r="35" spans="1:5" x14ac:dyDescent="0.2">
      <c r="A35" s="522" t="s">
        <v>86</v>
      </c>
      <c r="B35" s="520"/>
      <c r="C35" s="521"/>
    </row>
    <row r="36" spans="1:5" ht="13.5" thickBot="1" x14ac:dyDescent="0.25">
      <c r="A36" s="542" t="s">
        <v>260</v>
      </c>
      <c r="B36" s="542"/>
      <c r="C36" s="308">
        <f>NSRRequired+0.00001</f>
        <v>1.0000100000000001</v>
      </c>
    </row>
    <row r="37" spans="1:5" ht="13.5" thickBot="1" x14ac:dyDescent="0.25">
      <c r="A37" s="541" t="s">
        <v>261</v>
      </c>
      <c r="B37" s="523"/>
      <c r="C37" s="309">
        <f>ROUNDUP((((Total_Net_Annual_Income-(Living_Exp_for_ARA*12))/C36)-(Other_Commits_Total_Monthly_Payment*12)),0)</f>
        <v>79438</v>
      </c>
      <c r="E37" s="36"/>
    </row>
    <row r="38" spans="1:5" x14ac:dyDescent="0.2">
      <c r="A38" s="548" t="s">
        <v>262</v>
      </c>
      <c r="B38" s="548"/>
      <c r="C38" s="310">
        <f>ROUNDDOWN(C37/12,0)</f>
        <v>6619</v>
      </c>
    </row>
    <row r="39" spans="1:5" x14ac:dyDescent="0.2">
      <c r="A39" s="548" t="s">
        <v>263</v>
      </c>
      <c r="B39" s="548"/>
      <c r="C39" s="311">
        <f>ROUNDDOWN(IF(C38&gt;=0,-PV(MAX(CalculationsReference!G9,CalculationsReference!G16,CalculationsReference!G23)/12,CalculationsReference!G10*12,C38,0,0),0),0)</f>
        <v>894401</v>
      </c>
    </row>
    <row r="40" spans="1:5" x14ac:dyDescent="0.2">
      <c r="A40" s="523" t="s">
        <v>264</v>
      </c>
      <c r="B40" s="529"/>
      <c r="C40" s="312">
        <f>ROUNDDOWN(C39/10000,1)*10000</f>
        <v>894000</v>
      </c>
    </row>
    <row r="41" spans="1:5" x14ac:dyDescent="0.2">
      <c r="A41" s="525" t="s">
        <v>265</v>
      </c>
      <c r="B41" s="524"/>
      <c r="C41" s="312">
        <v>2500000</v>
      </c>
    </row>
    <row r="42" spans="1:5" x14ac:dyDescent="0.2">
      <c r="A42" s="548" t="s">
        <v>86</v>
      </c>
      <c r="B42" s="548"/>
      <c r="C42" s="312">
        <f>MIN(C41,C40)</f>
        <v>894000</v>
      </c>
    </row>
    <row r="43" spans="1:5" x14ac:dyDescent="0.2">
      <c r="A43" s="522" t="s">
        <v>266</v>
      </c>
      <c r="B43" s="521"/>
      <c r="C43" s="313">
        <f>IF(Main!E42=0,0,ROUND(IF(Main!E42&gt;0,(Main!F54+Main!F52-Main!F42)/Main!E42,""),4))</f>
        <v>0.35320000000000001</v>
      </c>
    </row>
    <row r="44" spans="1:5" x14ac:dyDescent="0.2">
      <c r="A44" s="525" t="s">
        <v>267</v>
      </c>
      <c r="B44" s="524"/>
      <c r="C44" s="313"/>
    </row>
    <row r="45" spans="1:5" x14ac:dyDescent="0.2">
      <c r="A45" s="525" t="s">
        <v>268</v>
      </c>
      <c r="B45" s="524"/>
      <c r="C45" s="314">
        <v>0</v>
      </c>
    </row>
    <row r="46" spans="1:5" x14ac:dyDescent="0.2">
      <c r="A46" s="522" t="s">
        <v>269</v>
      </c>
      <c r="B46" s="521"/>
      <c r="C46" s="311">
        <f>(Total_Net_Annual_Income-Applicable_Living_Expenses)-(Other_Commits_Total_Annual)</f>
        <v>79438</v>
      </c>
    </row>
    <row r="47" spans="1:5" x14ac:dyDescent="0.2">
      <c r="A47" s="41" t="s">
        <v>270</v>
      </c>
      <c r="B47" s="315"/>
      <c r="C47" s="311">
        <f>(ARA-(Other_Commits_Total_Monthly_Payment*12))</f>
        <v>79438</v>
      </c>
    </row>
    <row r="48" spans="1:5" x14ac:dyDescent="0.2">
      <c r="A48" s="41" t="s">
        <v>271</v>
      </c>
      <c r="B48" s="315"/>
      <c r="C48" s="316">
        <f>IF(ARA_MONTHLY&gt;=0,1,0)</f>
        <v>1</v>
      </c>
    </row>
    <row r="49" spans="1:9" x14ac:dyDescent="0.2">
      <c r="A49" s="522" t="s">
        <v>272</v>
      </c>
      <c r="B49" s="520"/>
      <c r="C49" s="521"/>
    </row>
    <row r="50" spans="1:9" x14ac:dyDescent="0.2">
      <c r="A50" s="525" t="s">
        <v>273</v>
      </c>
      <c r="B50" s="524"/>
      <c r="C50" s="314" t="b">
        <f>AND(Loan_Investment=0,Other_Loans_Inv_Amount=0,Other_Loans_Inv_Payment=0,Applicant1_GARental=0,Applicant2_GARental=0,Applicant3_GARental=0,Applicant4_GARental=0,Applicant5_GARental=0,Applicant6_GARental=0,Company_NPBT_GARental=0)</f>
        <v>1</v>
      </c>
    </row>
    <row r="51" spans="1:9" x14ac:dyDescent="0.2">
      <c r="A51" s="525" t="s">
        <v>274</v>
      </c>
      <c r="B51" s="524"/>
      <c r="C51" s="314" t="b">
        <v>0</v>
      </c>
    </row>
    <row r="52" spans="1:9" x14ac:dyDescent="0.2">
      <c r="A52" s="525" t="s">
        <v>275</v>
      </c>
      <c r="B52" s="524"/>
      <c r="C52" s="536" t="str">
        <f>IF(C50=TRUE,"Maximum Loan Amount",IF(C51=TRUE,"Maximum Loan Amount","Maximum Loan Amount *"))</f>
        <v>Maximum Loan Amount</v>
      </c>
      <c r="D52" s="537"/>
    </row>
    <row r="53" spans="1:9" x14ac:dyDescent="0.2">
      <c r="A53" s="1" t="s">
        <v>276</v>
      </c>
      <c r="B53" s="1">
        <f>SUM(B54:B54)</f>
        <v>0</v>
      </c>
      <c r="C53" s="538" t="s">
        <v>277</v>
      </c>
      <c r="D53" s="539"/>
      <c r="E53" s="539"/>
      <c r="F53" s="539"/>
      <c r="G53" s="539"/>
      <c r="H53" s="539"/>
      <c r="I53" s="540"/>
    </row>
    <row r="54" spans="1:9" x14ac:dyDescent="0.2">
      <c r="A54" s="175" t="s">
        <v>278</v>
      </c>
      <c r="B54" s="175">
        <f>IF(Company_NPBT_GAIncomePY=0,0,IF((Company_NPBT_GAIncomeMRY/Company_NPBT_GAIncomePY)&gt;1.25,1,0))</f>
        <v>0</v>
      </c>
      <c r="C54" s="533" t="s">
        <v>279</v>
      </c>
      <c r="D54" s="534"/>
      <c r="E54" s="534"/>
      <c r="F54" s="534"/>
      <c r="G54" s="534"/>
      <c r="H54" s="534"/>
      <c r="I54" s="535"/>
    </row>
    <row r="57" spans="1:9" x14ac:dyDescent="0.2">
      <c r="A57" t="s">
        <v>280</v>
      </c>
    </row>
    <row r="58" spans="1:9" x14ac:dyDescent="0.2">
      <c r="A58" t="s">
        <v>108</v>
      </c>
    </row>
  </sheetData>
  <mergeCells count="45">
    <mergeCell ref="A51:B51"/>
    <mergeCell ref="A34:B34"/>
    <mergeCell ref="A29:C29"/>
    <mergeCell ref="A27:C27"/>
    <mergeCell ref="A28:C28"/>
    <mergeCell ref="A31:B31"/>
    <mergeCell ref="A35:C35"/>
    <mergeCell ref="A39:B39"/>
    <mergeCell ref="A42:B42"/>
    <mergeCell ref="A38:B38"/>
    <mergeCell ref="A44:B44"/>
    <mergeCell ref="A45:B45"/>
    <mergeCell ref="A26:C26"/>
    <mergeCell ref="A30:B30"/>
    <mergeCell ref="A33:B33"/>
    <mergeCell ref="A32:B32"/>
    <mergeCell ref="C54:I54"/>
    <mergeCell ref="A49:C49"/>
    <mergeCell ref="A50:B50"/>
    <mergeCell ref="C52:D52"/>
    <mergeCell ref="A52:B52"/>
    <mergeCell ref="C53:I53"/>
    <mergeCell ref="A37:B37"/>
    <mergeCell ref="A36:B36"/>
    <mergeCell ref="A46:B46"/>
    <mergeCell ref="A43:B43"/>
    <mergeCell ref="A41:B41"/>
    <mergeCell ref="A40:B40"/>
    <mergeCell ref="A18:B18"/>
    <mergeCell ref="A19:B19"/>
    <mergeCell ref="A25:B25"/>
    <mergeCell ref="A21:B21"/>
    <mergeCell ref="A20:B20"/>
    <mergeCell ref="A22:B22"/>
    <mergeCell ref="A23:B23"/>
    <mergeCell ref="A24:B24"/>
    <mergeCell ref="D10:F10"/>
    <mergeCell ref="A1:C1"/>
    <mergeCell ref="A16:C16"/>
    <mergeCell ref="A10:B10"/>
    <mergeCell ref="A17:B17"/>
    <mergeCell ref="A8:B8"/>
    <mergeCell ref="A9:B9"/>
    <mergeCell ref="A11:B11"/>
    <mergeCell ref="A12:B12"/>
  </mergeCells>
  <phoneticPr fontId="0" type="noConversion"/>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0" tint="-0.34998626667073579"/>
  </sheetPr>
  <dimension ref="A1:R27"/>
  <sheetViews>
    <sheetView zoomScaleNormal="100" workbookViewId="0">
      <pane xSplit="1" ySplit="1" topLeftCell="B2" activePane="bottomRight" state="frozen"/>
      <selection pane="topRight" activeCell="B1" sqref="B1"/>
      <selection pane="bottomLeft" activeCell="A2" sqref="A2"/>
      <selection pane="bottomRight" activeCell="B7" sqref="B7"/>
    </sheetView>
  </sheetViews>
  <sheetFormatPr defaultRowHeight="12.75" x14ac:dyDescent="0.2"/>
  <cols>
    <col min="1" max="1" width="31.42578125" bestFit="1" customWidth="1"/>
    <col min="2" max="2" width="9.42578125" customWidth="1"/>
    <col min="8" max="8" width="10.5703125" customWidth="1"/>
    <col min="9" max="18" width="9.42578125" bestFit="1" customWidth="1"/>
  </cols>
  <sheetData>
    <row r="1" spans="1:18" ht="28.5" x14ac:dyDescent="0.45">
      <c r="A1" s="153" t="s">
        <v>281</v>
      </c>
      <c r="B1" s="176" t="s">
        <v>282</v>
      </c>
      <c r="C1" s="176"/>
      <c r="D1" s="176"/>
      <c r="E1" s="176"/>
      <c r="F1" s="176"/>
      <c r="G1" s="176"/>
      <c r="H1" s="176"/>
      <c r="I1" s="176"/>
      <c r="J1" s="176"/>
      <c r="K1" s="176"/>
      <c r="L1" s="176"/>
      <c r="M1" s="176"/>
      <c r="N1" s="176"/>
      <c r="O1" s="176"/>
      <c r="P1" s="176"/>
      <c r="Q1" s="176"/>
      <c r="R1" s="176"/>
    </row>
    <row r="2" spans="1:18" ht="38.450000000000003" customHeight="1" x14ac:dyDescent="0.4">
      <c r="A2" s="152" t="s">
        <v>283</v>
      </c>
      <c r="B2" s="196">
        <v>0</v>
      </c>
      <c r="C2" s="197">
        <v>26000</v>
      </c>
      <c r="D2" s="197">
        <v>39000</v>
      </c>
      <c r="E2" s="197">
        <v>52000</v>
      </c>
      <c r="F2" s="197">
        <v>66000</v>
      </c>
      <c r="G2" s="197">
        <v>79000</v>
      </c>
      <c r="H2" s="197">
        <v>105000</v>
      </c>
      <c r="I2" s="197">
        <v>131000</v>
      </c>
      <c r="J2" s="197">
        <v>157000</v>
      </c>
      <c r="K2" s="197">
        <v>184000</v>
      </c>
      <c r="L2" s="197">
        <v>210000</v>
      </c>
      <c r="M2" s="197">
        <v>262000</v>
      </c>
      <c r="N2" s="197">
        <v>328000</v>
      </c>
      <c r="O2" s="197">
        <v>394000</v>
      </c>
      <c r="P2" s="171"/>
      <c r="Q2" s="171"/>
      <c r="R2" s="171"/>
    </row>
    <row r="3" spans="1:18" ht="15" x14ac:dyDescent="0.25">
      <c r="A3" s="150" t="s">
        <v>220</v>
      </c>
      <c r="B3" s="213">
        <f>B19*1.05</f>
        <v>2723.6084919732371</v>
      </c>
      <c r="C3" s="213">
        <f t="shared" ref="C3:O3" si="0">C19*1.05</f>
        <v>2723.6084919732371</v>
      </c>
      <c r="D3" s="213">
        <f t="shared" si="0"/>
        <v>2790.6456804944737</v>
      </c>
      <c r="E3" s="213">
        <f t="shared" si="0"/>
        <v>2903.7386170888658</v>
      </c>
      <c r="F3" s="213">
        <f t="shared" si="0"/>
        <v>3088.8728331769717</v>
      </c>
      <c r="G3" s="213">
        <f t="shared" si="0"/>
        <v>3375.265875989297</v>
      </c>
      <c r="H3" s="213">
        <f t="shared" si="0"/>
        <v>3772.356974101976</v>
      </c>
      <c r="I3" s="213">
        <f t="shared" si="0"/>
        <v>4108.9818345305939</v>
      </c>
      <c r="J3" s="213">
        <f t="shared" si="0"/>
        <v>4483.5662078677224</v>
      </c>
      <c r="K3" s="213">
        <f t="shared" si="0"/>
        <v>4703.718137268922</v>
      </c>
      <c r="L3" s="213">
        <f t="shared" si="0"/>
        <v>5004.1147239987558</v>
      </c>
      <c r="M3" s="213">
        <f t="shared" si="0"/>
        <v>5534.2824577980964</v>
      </c>
      <c r="N3" s="213">
        <f t="shared" si="0"/>
        <v>6318.3121821850527</v>
      </c>
      <c r="O3" s="213">
        <f t="shared" si="0"/>
        <v>6385.778760221564</v>
      </c>
      <c r="P3" s="151"/>
      <c r="Q3" s="151"/>
      <c r="R3" s="170"/>
    </row>
    <row r="4" spans="1:18" ht="15" x14ac:dyDescent="0.25">
      <c r="A4" s="150" t="s">
        <v>284</v>
      </c>
      <c r="B4" s="213">
        <f t="shared" ref="B4:O4" si="1">B20*1.05</f>
        <v>2723.6084919732371</v>
      </c>
      <c r="C4" s="213">
        <f t="shared" si="1"/>
        <v>2723.6084919732371</v>
      </c>
      <c r="D4" s="213">
        <f t="shared" si="1"/>
        <v>3201.011448080726</v>
      </c>
      <c r="E4" s="213">
        <f t="shared" si="1"/>
        <v>3314.5877327650051</v>
      </c>
      <c r="F4" s="213">
        <f t="shared" si="1"/>
        <v>3500.5131948526855</v>
      </c>
      <c r="G4" s="213">
        <f t="shared" si="1"/>
        <v>3788.1302465007734</v>
      </c>
      <c r="H4" s="213">
        <f t="shared" si="1"/>
        <v>4186.9184727666607</v>
      </c>
      <c r="I4" s="213">
        <f t="shared" si="1"/>
        <v>4524.9820358053012</v>
      </c>
      <c r="J4" s="213">
        <f t="shared" si="1"/>
        <v>4901.1673315732905</v>
      </c>
      <c r="K4" s="213">
        <f t="shared" si="1"/>
        <v>5122.2601839182089</v>
      </c>
      <c r="L4" s="213">
        <f t="shared" si="1"/>
        <v>5423.9406385073953</v>
      </c>
      <c r="M4" s="213">
        <f t="shared" si="1"/>
        <v>5956.374237547956</v>
      </c>
      <c r="N4" s="213">
        <f t="shared" si="1"/>
        <v>6743.7548280896426</v>
      </c>
      <c r="O4" s="213">
        <f t="shared" si="1"/>
        <v>6811.5097458819746</v>
      </c>
      <c r="P4" s="151"/>
      <c r="Q4" s="151"/>
      <c r="R4" s="151"/>
    </row>
    <row r="5" spans="1:18" ht="15" x14ac:dyDescent="0.25">
      <c r="A5" s="150" t="s">
        <v>285</v>
      </c>
      <c r="B5" s="213">
        <f t="shared" ref="B5:O5" si="2">B21*1.05</f>
        <v>2723.6084919732371</v>
      </c>
      <c r="C5" s="213">
        <f t="shared" si="2"/>
        <v>2723.6084919732371</v>
      </c>
      <c r="D5" s="213">
        <f t="shared" si="2"/>
        <v>3499.9672463782899</v>
      </c>
      <c r="E5" s="213">
        <f t="shared" si="2"/>
        <v>3612.80205356947</v>
      </c>
      <c r="F5" s="213">
        <f t="shared" si="2"/>
        <v>3797.513718185412</v>
      </c>
      <c r="G5" s="213">
        <f t="shared" si="2"/>
        <v>4083.2530830634823</v>
      </c>
      <c r="H5" s="213">
        <f t="shared" si="2"/>
        <v>4479.43784400201</v>
      </c>
      <c r="I5" s="213">
        <f t="shared" si="2"/>
        <v>4815.2943821203062</v>
      </c>
      <c r="J5" s="213">
        <f t="shared" si="2"/>
        <v>5189.023788943904</v>
      </c>
      <c r="K5" s="213">
        <f t="shared" si="2"/>
        <v>5408.673243070999</v>
      </c>
      <c r="L5" s="213">
        <f t="shared" si="2"/>
        <v>5708.3841968118031</v>
      </c>
      <c r="M5" s="213">
        <f t="shared" si="2"/>
        <v>6237.3418473906713</v>
      </c>
      <c r="N5" s="213">
        <f t="shared" si="2"/>
        <v>7019.5820844724985</v>
      </c>
      <c r="O5" s="213">
        <f t="shared" si="2"/>
        <v>7086.8946672288557</v>
      </c>
      <c r="P5" s="151"/>
      <c r="Q5" s="151"/>
      <c r="R5" s="151"/>
    </row>
    <row r="6" spans="1:18" ht="15" x14ac:dyDescent="0.25">
      <c r="A6" s="150" t="s">
        <v>286</v>
      </c>
      <c r="B6" s="213">
        <f t="shared" ref="B6:O6" si="3">B22*1.05</f>
        <v>2723.6084919732371</v>
      </c>
      <c r="C6" s="213">
        <f t="shared" si="3"/>
        <v>2723.6084919732371</v>
      </c>
      <c r="D6" s="213">
        <f t="shared" si="3"/>
        <v>3499.65</v>
      </c>
      <c r="E6" s="213">
        <f t="shared" si="3"/>
        <v>3908.2439742699021</v>
      </c>
      <c r="F6" s="213">
        <f t="shared" si="3"/>
        <v>4092.8885395317338</v>
      </c>
      <c r="G6" s="213">
        <f t="shared" si="3"/>
        <v>4378.5241297861185</v>
      </c>
      <c r="H6" s="213">
        <f t="shared" si="3"/>
        <v>4774.5649818704587</v>
      </c>
      <c r="I6" s="213">
        <f t="shared" si="3"/>
        <v>5110.2995292189344</v>
      </c>
      <c r="J6" s="213">
        <f t="shared" si="3"/>
        <v>5483.8931769724022</v>
      </c>
      <c r="K6" s="213">
        <f t="shared" si="3"/>
        <v>5703.4628475227009</v>
      </c>
      <c r="L6" s="213">
        <f t="shared" si="3"/>
        <v>6003.0649366502748</v>
      </c>
      <c r="M6" s="213">
        <f t="shared" si="3"/>
        <v>6531.8304548873157</v>
      </c>
      <c r="N6" s="213">
        <f t="shared" si="3"/>
        <v>7313.7865440319756</v>
      </c>
      <c r="O6" s="213">
        <f t="shared" si="3"/>
        <v>7381.0746934825265</v>
      </c>
      <c r="P6" s="151"/>
      <c r="Q6" s="151"/>
      <c r="R6" s="151"/>
    </row>
    <row r="7" spans="1:18" ht="15" x14ac:dyDescent="0.25">
      <c r="A7" s="150"/>
      <c r="B7" s="213"/>
      <c r="C7" s="213"/>
      <c r="D7" s="213"/>
      <c r="E7" s="213"/>
      <c r="F7" s="213"/>
      <c r="G7" s="213"/>
      <c r="H7" s="213"/>
      <c r="I7" s="213"/>
      <c r="J7" s="213"/>
      <c r="K7" s="213"/>
      <c r="L7" s="213"/>
      <c r="M7" s="213"/>
      <c r="N7" s="213"/>
      <c r="O7" s="213"/>
      <c r="P7" s="151"/>
      <c r="Q7" s="151"/>
      <c r="R7" s="151"/>
    </row>
    <row r="8" spans="1:18" ht="15" x14ac:dyDescent="0.25">
      <c r="A8" s="150" t="s">
        <v>287</v>
      </c>
      <c r="B8" s="213">
        <f>B24*1.05</f>
        <v>1414.5714810439804</v>
      </c>
      <c r="C8" s="213">
        <f t="shared" ref="C8:O8" si="4">C24*1.05</f>
        <v>1484.6582328774871</v>
      </c>
      <c r="D8" s="213">
        <f t="shared" si="4"/>
        <v>1551.8110546918067</v>
      </c>
      <c r="E8" s="213">
        <f t="shared" si="4"/>
        <v>1665.0990688242732</v>
      </c>
      <c r="F8" s="213">
        <f t="shared" si="4"/>
        <v>1850.5526267677467</v>
      </c>
      <c r="G8" s="213">
        <f t="shared" si="4"/>
        <v>2137.4396733841254</v>
      </c>
      <c r="H8" s="213">
        <f t="shared" si="4"/>
        <v>2535.2157198328632</v>
      </c>
      <c r="I8" s="213">
        <f t="shared" si="4"/>
        <v>2872.4212315274394</v>
      </c>
      <c r="J8" s="213">
        <f t="shared" si="4"/>
        <v>3247.6517292506724</v>
      </c>
      <c r="K8" s="213">
        <f t="shared" si="4"/>
        <v>3468.1834091968444</v>
      </c>
      <c r="L8" s="213">
        <f t="shared" si="4"/>
        <v>3769.0981527975896</v>
      </c>
      <c r="M8" s="213">
        <f t="shared" si="4"/>
        <v>4300.1803777731475</v>
      </c>
      <c r="N8" s="213">
        <f t="shared" si="4"/>
        <v>5085.5624941548431</v>
      </c>
      <c r="O8" s="213">
        <f t="shared" si="4"/>
        <v>5153.1454386202759</v>
      </c>
      <c r="P8" s="151"/>
      <c r="Q8" s="151"/>
      <c r="R8" s="151"/>
    </row>
    <row r="9" spans="1:18" ht="15" x14ac:dyDescent="0.25">
      <c r="A9" s="150" t="s">
        <v>288</v>
      </c>
      <c r="B9" s="213">
        <f t="shared" ref="B9:O9" si="5">B25*1.05</f>
        <v>1414.5714810439804</v>
      </c>
      <c r="C9" s="213">
        <f t="shared" si="5"/>
        <v>1933.336149633303</v>
      </c>
      <c r="D9" s="213">
        <f t="shared" si="5"/>
        <v>2000.0430166902042</v>
      </c>
      <c r="E9" s="213">
        <f t="shared" si="5"/>
        <v>2112.5786952939675</v>
      </c>
      <c r="F9" s="213">
        <f t="shared" si="5"/>
        <v>2296.8006653481589</v>
      </c>
      <c r="G9" s="213">
        <f t="shared" si="5"/>
        <v>2581.7825263198442</v>
      </c>
      <c r="H9" s="213">
        <f t="shared" si="5"/>
        <v>2976.9169803919249</v>
      </c>
      <c r="I9" s="213">
        <f t="shared" si="5"/>
        <v>3311.8831365629276</v>
      </c>
      <c r="J9" s="213">
        <f t="shared" si="5"/>
        <v>3684.6217501391998</v>
      </c>
      <c r="K9" s="213">
        <f t="shared" si="5"/>
        <v>3903.6889025735341</v>
      </c>
      <c r="L9" s="213">
        <f t="shared" si="5"/>
        <v>4202.6053017310296</v>
      </c>
      <c r="M9" s="213">
        <f t="shared" si="5"/>
        <v>4730.1606629087555</v>
      </c>
      <c r="N9" s="213">
        <f t="shared" si="5"/>
        <v>5510.3271154854738</v>
      </c>
      <c r="O9" s="213">
        <f t="shared" si="5"/>
        <v>5577.4612544381553</v>
      </c>
      <c r="P9" s="151"/>
      <c r="Q9" s="151"/>
      <c r="R9" s="151"/>
    </row>
    <row r="10" spans="1:18" ht="15" x14ac:dyDescent="0.25">
      <c r="A10" s="150" t="s">
        <v>289</v>
      </c>
      <c r="B10" s="213">
        <f t="shared" ref="B10:O10" si="6">B26*1.05</f>
        <v>1414.5714810439804</v>
      </c>
      <c r="C10" s="213">
        <f t="shared" si="6"/>
        <v>2439.2338900338805</v>
      </c>
      <c r="D10" s="213">
        <f t="shared" si="6"/>
        <v>2505.8453255137902</v>
      </c>
      <c r="E10" s="213">
        <f t="shared" si="6"/>
        <v>2618.2200075972878</v>
      </c>
      <c r="F10" s="213">
        <f t="shared" si="6"/>
        <v>2802.1784246589818</v>
      </c>
      <c r="G10" s="213">
        <f t="shared" si="6"/>
        <v>3086.752591135381</v>
      </c>
      <c r="H10" s="213">
        <f t="shared" si="6"/>
        <v>3481.3217508707785</v>
      </c>
      <c r="I10" s="213">
        <f t="shared" si="6"/>
        <v>3815.8086977715384</v>
      </c>
      <c r="J10" s="213">
        <f t="shared" si="6"/>
        <v>4188.0140795817397</v>
      </c>
      <c r="K10" s="213">
        <f t="shared" si="6"/>
        <v>4406.7678133633981</v>
      </c>
      <c r="L10" s="213">
        <f t="shared" si="6"/>
        <v>4705.2565815266689</v>
      </c>
      <c r="M10" s="213">
        <f t="shared" si="6"/>
        <v>5232.0572225688293</v>
      </c>
      <c r="N10" s="213">
        <f t="shared" si="6"/>
        <v>6011.1075424508545</v>
      </c>
      <c r="O10" s="213">
        <f t="shared" si="6"/>
        <v>6078.1456398537048</v>
      </c>
      <c r="P10" s="151"/>
      <c r="Q10" s="151"/>
      <c r="R10" s="151"/>
    </row>
    <row r="11" spans="1:18" ht="15" x14ac:dyDescent="0.25">
      <c r="A11" s="150" t="s">
        <v>290</v>
      </c>
      <c r="B11" s="213">
        <f t="shared" ref="B11:O11" si="7">B27*1.05</f>
        <v>1414.5714810439804</v>
      </c>
      <c r="C11" s="213">
        <f t="shared" si="7"/>
        <v>2439.15</v>
      </c>
      <c r="D11" s="213">
        <f t="shared" si="7"/>
        <v>3011.6476343373756</v>
      </c>
      <c r="E11" s="213">
        <f t="shared" si="7"/>
        <v>3123.8613199006081</v>
      </c>
      <c r="F11" s="213">
        <f t="shared" si="7"/>
        <v>3307.5561839698053</v>
      </c>
      <c r="G11" s="213">
        <f t="shared" si="7"/>
        <v>3591.7226559509181</v>
      </c>
      <c r="H11" s="213">
        <f t="shared" si="7"/>
        <v>3985.7265213496321</v>
      </c>
      <c r="I11" s="213">
        <f t="shared" si="7"/>
        <v>4319.7342589801501</v>
      </c>
      <c r="J11" s="213">
        <f t="shared" si="7"/>
        <v>4691.4064090242791</v>
      </c>
      <c r="K11" s="213">
        <f t="shared" si="7"/>
        <v>4909.8467241532635</v>
      </c>
      <c r="L11" s="213">
        <f t="shared" si="7"/>
        <v>5207.9078613223073</v>
      </c>
      <c r="M11" s="213">
        <f t="shared" si="7"/>
        <v>5733.9537822289021</v>
      </c>
      <c r="N11" s="213">
        <f t="shared" si="7"/>
        <v>6511.887969416236</v>
      </c>
      <c r="O11" s="213">
        <f t="shared" si="7"/>
        <v>6578.8300252692534</v>
      </c>
      <c r="P11" s="151"/>
      <c r="Q11" s="151"/>
      <c r="R11" s="151"/>
    </row>
    <row r="12" spans="1:18" ht="15" x14ac:dyDescent="0.25">
      <c r="A12" s="150"/>
    </row>
    <row r="13" spans="1:18" ht="15" x14ac:dyDescent="0.25">
      <c r="A13" s="150"/>
    </row>
    <row r="14" spans="1:18" ht="15" x14ac:dyDescent="0.25">
      <c r="A14" s="150"/>
    </row>
    <row r="15" spans="1:18" ht="36.75" x14ac:dyDescent="0.25">
      <c r="A15" s="173" t="s">
        <v>291</v>
      </c>
      <c r="B15" s="169">
        <f>ROUND(B2,0)</f>
        <v>0</v>
      </c>
      <c r="C15" s="169">
        <f>ROUND(C2,0)</f>
        <v>26000</v>
      </c>
      <c r="D15" s="169">
        <f t="shared" ref="D15:O15" si="8">ROUND(D2,0)</f>
        <v>39000</v>
      </c>
      <c r="E15" s="169">
        <f t="shared" si="8"/>
        <v>52000</v>
      </c>
      <c r="F15" s="169">
        <f t="shared" si="8"/>
        <v>66000</v>
      </c>
      <c r="G15" s="169">
        <f t="shared" si="8"/>
        <v>79000</v>
      </c>
      <c r="H15" s="169">
        <f t="shared" si="8"/>
        <v>105000</v>
      </c>
      <c r="I15" s="169">
        <f t="shared" si="8"/>
        <v>131000</v>
      </c>
      <c r="J15" s="169">
        <f t="shared" si="8"/>
        <v>157000</v>
      </c>
      <c r="K15" s="169">
        <f t="shared" si="8"/>
        <v>184000</v>
      </c>
      <c r="L15" s="169">
        <f t="shared" si="8"/>
        <v>210000</v>
      </c>
      <c r="M15" s="169">
        <f t="shared" si="8"/>
        <v>262000</v>
      </c>
      <c r="N15" s="169">
        <f t="shared" si="8"/>
        <v>328000</v>
      </c>
      <c r="O15" s="169">
        <f t="shared" si="8"/>
        <v>394000</v>
      </c>
      <c r="P15" s="169"/>
      <c r="Q15" s="169"/>
      <c r="R15" s="169"/>
    </row>
    <row r="16" spans="1:18" ht="15" x14ac:dyDescent="0.25">
      <c r="A16" s="150"/>
    </row>
    <row r="17" spans="1:15" ht="15" x14ac:dyDescent="0.25">
      <c r="A17" s="150"/>
    </row>
    <row r="19" spans="1:15" ht="15" x14ac:dyDescent="0.25">
      <c r="A19" s="150" t="s">
        <v>220</v>
      </c>
      <c r="B19" s="217">
        <v>2593.9128494983211</v>
      </c>
      <c r="C19" s="217">
        <v>2593.9128494983211</v>
      </c>
      <c r="D19" s="217">
        <v>2657.7577909471179</v>
      </c>
      <c r="E19" s="217">
        <v>2765.4653496084434</v>
      </c>
      <c r="F19" s="217">
        <v>2941.7836506447347</v>
      </c>
      <c r="G19" s="217">
        <v>3214.538929513616</v>
      </c>
      <c r="H19" s="217">
        <v>3592.7209277161674</v>
      </c>
      <c r="I19" s="217">
        <v>3913.31603288628</v>
      </c>
      <c r="J19" s="217">
        <v>4270.0630551121167</v>
      </c>
      <c r="K19" s="217">
        <v>4479.7315593037347</v>
      </c>
      <c r="L19" s="217">
        <v>4765.8235466654814</v>
      </c>
      <c r="M19" s="217">
        <v>5270.7451979029483</v>
      </c>
      <c r="N19" s="217">
        <v>6017.4401735095735</v>
      </c>
      <c r="O19" s="217">
        <v>6081.6940573538704</v>
      </c>
    </row>
    <row r="20" spans="1:15" ht="15" x14ac:dyDescent="0.25">
      <c r="A20" s="150" t="s">
        <v>284</v>
      </c>
      <c r="B20" s="217">
        <v>2593.9128494983211</v>
      </c>
      <c r="C20" s="217">
        <v>2593.9128494983211</v>
      </c>
      <c r="D20" s="217">
        <v>3048.5823315054531</v>
      </c>
      <c r="E20" s="217">
        <v>3156.7502216809571</v>
      </c>
      <c r="F20" s="217">
        <v>3333.8220903358906</v>
      </c>
      <c r="G20" s="217">
        <v>3607.7430919054982</v>
      </c>
      <c r="H20" s="217">
        <v>3987.5414026349149</v>
      </c>
      <c r="I20" s="217">
        <v>4309.5067007669531</v>
      </c>
      <c r="J20" s="217">
        <v>4667.778411022181</v>
      </c>
      <c r="K20" s="217">
        <v>4878.3430323030561</v>
      </c>
      <c r="L20" s="217">
        <v>5165.6577509594235</v>
      </c>
      <c r="M20" s="217">
        <v>5672.7373690932909</v>
      </c>
      <c r="N20" s="217">
        <v>6422.6236457996592</v>
      </c>
      <c r="O20" s="217">
        <v>6487.1521389352138</v>
      </c>
    </row>
    <row r="21" spans="1:15" ht="15" x14ac:dyDescent="0.25">
      <c r="A21" s="150" t="s">
        <v>285</v>
      </c>
      <c r="B21" s="217">
        <v>2593.9128494983211</v>
      </c>
      <c r="C21" s="217">
        <v>2593.9128494983211</v>
      </c>
      <c r="D21" s="217">
        <v>3333.3021394078951</v>
      </c>
      <c r="E21" s="217">
        <v>3440.7638605423522</v>
      </c>
      <c r="F21" s="217">
        <v>3616.6797316051543</v>
      </c>
      <c r="G21" s="217">
        <v>3888.8124600604592</v>
      </c>
      <c r="H21" s="217">
        <v>4266.1312800019141</v>
      </c>
      <c r="I21" s="217">
        <v>4585.9946496383864</v>
      </c>
      <c r="J21" s="217">
        <v>4941.9274180418133</v>
      </c>
      <c r="K21" s="217">
        <v>5151.1173743533318</v>
      </c>
      <c r="L21" s="217">
        <v>5436.5563779160029</v>
      </c>
      <c r="M21" s="217">
        <v>5940.3255689434964</v>
      </c>
      <c r="N21" s="217">
        <v>6685.3162709261887</v>
      </c>
      <c r="O21" s="217">
        <v>6749.4234925989103</v>
      </c>
    </row>
    <row r="22" spans="1:15" ht="15" x14ac:dyDescent="0.25">
      <c r="A22" s="150" t="s">
        <v>286</v>
      </c>
      <c r="B22" s="217">
        <v>2593.9128494983211</v>
      </c>
      <c r="C22" s="217">
        <v>2593.9128494983211</v>
      </c>
      <c r="D22" s="217">
        <v>3333</v>
      </c>
      <c r="E22" s="217">
        <v>3722.1371183522874</v>
      </c>
      <c r="F22" s="217">
        <v>3897.9890852683179</v>
      </c>
      <c r="G22" s="217">
        <v>4170.0229807486839</v>
      </c>
      <c r="H22" s="217">
        <v>4547.2047446385322</v>
      </c>
      <c r="I22" s="217">
        <v>4866.9519325894607</v>
      </c>
      <c r="J22" s="217">
        <v>5222.7554066403827</v>
      </c>
      <c r="K22" s="217">
        <v>5431.8693785930482</v>
      </c>
      <c r="L22" s="217">
        <v>5717.2047015716898</v>
      </c>
      <c r="M22" s="217">
        <v>6220.7909094164906</v>
      </c>
      <c r="N22" s="217">
        <v>6965.5109943161669</v>
      </c>
      <c r="O22" s="217">
        <v>7029.5949461738346</v>
      </c>
    </row>
    <row r="23" spans="1:15" ht="15" x14ac:dyDescent="0.25">
      <c r="A23" s="150"/>
      <c r="B23" s="217"/>
      <c r="C23" s="217"/>
      <c r="D23" s="217"/>
      <c r="E23" s="217"/>
      <c r="F23" s="217"/>
      <c r="G23" s="217"/>
      <c r="H23" s="217"/>
      <c r="I23" s="217"/>
      <c r="J23" s="217"/>
      <c r="K23" s="217"/>
      <c r="L23" s="217"/>
      <c r="M23" s="217"/>
      <c r="N23" s="217"/>
      <c r="O23" s="217"/>
    </row>
    <row r="24" spans="1:15" ht="15" x14ac:dyDescent="0.25">
      <c r="A24" s="150" t="s">
        <v>287</v>
      </c>
      <c r="B24" s="217">
        <v>1347.2109343276004</v>
      </c>
      <c r="C24" s="217">
        <v>1413.9602217880829</v>
      </c>
      <c r="D24" s="217">
        <v>1477.9152901826731</v>
      </c>
      <c r="E24" s="217">
        <v>1585.8086369754983</v>
      </c>
      <c r="F24" s="217">
        <v>1762.4310731121395</v>
      </c>
      <c r="G24" s="217">
        <v>2035.656831794405</v>
      </c>
      <c r="H24" s="217">
        <v>2414.4911617455841</v>
      </c>
      <c r="I24" s="217">
        <v>2735.6392681213706</v>
      </c>
      <c r="J24" s="217">
        <v>3093.0016469054021</v>
      </c>
      <c r="K24" s="217">
        <v>3303.0318182827086</v>
      </c>
      <c r="L24" s="217">
        <v>3589.6172883786567</v>
      </c>
      <c r="M24" s="217">
        <v>4095.4098835934733</v>
      </c>
      <c r="N24" s="217">
        <v>4843.3928515760408</v>
      </c>
      <c r="O24" s="217">
        <v>4907.7575605907386</v>
      </c>
    </row>
    <row r="25" spans="1:15" ht="15" x14ac:dyDescent="0.25">
      <c r="A25" s="150" t="s">
        <v>288</v>
      </c>
      <c r="B25" s="217">
        <v>1347.2109343276004</v>
      </c>
      <c r="C25" s="217">
        <v>1841.2725234602885</v>
      </c>
      <c r="D25" s="217">
        <v>1904.8028730382896</v>
      </c>
      <c r="E25" s="217">
        <v>2011.9797098037786</v>
      </c>
      <c r="F25" s="217">
        <v>2187.4292050934846</v>
      </c>
      <c r="G25" s="217">
        <v>2458.8405012569942</v>
      </c>
      <c r="H25" s="217">
        <v>2835.1590289446904</v>
      </c>
      <c r="I25" s="217">
        <v>3154.1744157742164</v>
      </c>
      <c r="J25" s="217">
        <v>3509.1635715611424</v>
      </c>
      <c r="K25" s="217">
        <v>3717.798954831937</v>
      </c>
      <c r="L25" s="217">
        <v>4002.4812397438377</v>
      </c>
      <c r="M25" s="217">
        <v>4504.9149170559576</v>
      </c>
      <c r="N25" s="217">
        <v>5247.9305861766416</v>
      </c>
      <c r="O25" s="217">
        <v>5311.8678613696711</v>
      </c>
    </row>
    <row r="26" spans="1:15" ht="15" x14ac:dyDescent="0.25">
      <c r="A26" s="150" t="s">
        <v>289</v>
      </c>
      <c r="B26" s="217">
        <v>1347.2109343276004</v>
      </c>
      <c r="C26" s="217">
        <v>2323.0798952703622</v>
      </c>
      <c r="D26" s="217">
        <v>2386.5193576321808</v>
      </c>
      <c r="E26" s="217">
        <v>2493.5428643783694</v>
      </c>
      <c r="F26" s="217">
        <v>2668.7413568180777</v>
      </c>
      <c r="G26" s="217">
        <v>2939.7643725098865</v>
      </c>
      <c r="H26" s="217">
        <v>3315.5445246388367</v>
      </c>
      <c r="I26" s="217">
        <v>3634.1035216871792</v>
      </c>
      <c r="J26" s="217">
        <v>3988.5848376968947</v>
      </c>
      <c r="K26" s="217">
        <v>4196.9217270127601</v>
      </c>
      <c r="L26" s="217">
        <v>4481.1967443111134</v>
      </c>
      <c r="M26" s="217">
        <v>4982.9116405417417</v>
      </c>
      <c r="N26" s="217">
        <v>5724.864326143671</v>
      </c>
      <c r="O26" s="217">
        <v>5788.7101331940039</v>
      </c>
    </row>
    <row r="27" spans="1:15" ht="15" x14ac:dyDescent="0.25">
      <c r="A27" s="150" t="s">
        <v>290</v>
      </c>
      <c r="B27" s="217">
        <v>1347.2109343276004</v>
      </c>
      <c r="C27" s="217">
        <v>2323</v>
      </c>
      <c r="D27" s="217">
        <v>2868.2358422260718</v>
      </c>
      <c r="E27" s="217">
        <v>2975.1060189529599</v>
      </c>
      <c r="F27" s="217">
        <v>3150.0535085426714</v>
      </c>
      <c r="G27" s="217">
        <v>3420.6882437627792</v>
      </c>
      <c r="H27" s="217">
        <v>3795.9300203329826</v>
      </c>
      <c r="I27" s="217">
        <v>4114.0326276001424</v>
      </c>
      <c r="J27" s="217">
        <v>4468.0061038326467</v>
      </c>
      <c r="K27" s="217">
        <v>4676.0444991935838</v>
      </c>
      <c r="L27" s="217">
        <v>4959.9122488783878</v>
      </c>
      <c r="M27" s="217">
        <v>5460.9083640275257</v>
      </c>
      <c r="N27" s="217">
        <v>6201.7980661107003</v>
      </c>
      <c r="O27" s="217">
        <v>6265.5524050183367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59999389629810485"/>
  </sheetPr>
  <dimension ref="A1:C44"/>
  <sheetViews>
    <sheetView workbookViewId="0">
      <pane ySplit="3" topLeftCell="A16" activePane="bottomLeft" state="frozen"/>
      <selection pane="bottomLeft" activeCell="A45" sqref="A45"/>
    </sheetView>
  </sheetViews>
  <sheetFormatPr defaultColWidth="8.85546875" defaultRowHeight="12.75" x14ac:dyDescent="0.2"/>
  <cols>
    <col min="1" max="1" width="8.85546875" style="147"/>
    <col min="2" max="2" width="11.5703125" style="147" customWidth="1"/>
    <col min="3" max="3" width="96.42578125" style="147" customWidth="1"/>
    <col min="4" max="16384" width="8.85546875" style="147"/>
  </cols>
  <sheetData>
    <row r="1" spans="1:3" ht="15" x14ac:dyDescent="0.25">
      <c r="A1" s="549" t="s">
        <v>292</v>
      </c>
      <c r="B1" s="549"/>
      <c r="C1" s="549"/>
    </row>
    <row r="3" spans="1:3" ht="15" x14ac:dyDescent="0.25">
      <c r="A3" s="146" t="s">
        <v>293</v>
      </c>
      <c r="B3" s="146" t="s">
        <v>294</v>
      </c>
      <c r="C3" s="145" t="s">
        <v>295</v>
      </c>
    </row>
    <row r="4" spans="1:3" ht="25.5" x14ac:dyDescent="0.2">
      <c r="A4" s="172">
        <v>9.8000000000000007</v>
      </c>
      <c r="B4" s="148">
        <v>42052</v>
      </c>
      <c r="C4" s="149" t="s">
        <v>296</v>
      </c>
    </row>
    <row r="5" spans="1:3" ht="25.5" x14ac:dyDescent="0.2">
      <c r="A5" s="172">
        <v>10</v>
      </c>
      <c r="B5" s="148">
        <v>42052</v>
      </c>
      <c r="C5" s="149" t="s">
        <v>297</v>
      </c>
    </row>
    <row r="6" spans="1:3" x14ac:dyDescent="0.2">
      <c r="A6" s="172">
        <v>10.1</v>
      </c>
      <c r="B6" s="148">
        <v>42061</v>
      </c>
      <c r="C6" s="149" t="s">
        <v>298</v>
      </c>
    </row>
    <row r="7" spans="1:3" ht="25.5" x14ac:dyDescent="0.2">
      <c r="A7" s="172">
        <v>10.199999999999999</v>
      </c>
      <c r="B7" s="148">
        <v>42144</v>
      </c>
      <c r="C7" s="149" t="s">
        <v>299</v>
      </c>
    </row>
    <row r="8" spans="1:3" x14ac:dyDescent="0.2">
      <c r="A8" s="172">
        <v>10.3</v>
      </c>
      <c r="B8" s="148">
        <v>42255</v>
      </c>
      <c r="C8" s="149" t="s">
        <v>300</v>
      </c>
    </row>
    <row r="9" spans="1:3" ht="25.5" x14ac:dyDescent="0.2">
      <c r="A9" s="172">
        <v>10.4</v>
      </c>
      <c r="B9" s="148">
        <v>42257</v>
      </c>
      <c r="C9" s="149" t="s">
        <v>301</v>
      </c>
    </row>
    <row r="10" spans="1:3" ht="25.5" x14ac:dyDescent="0.2">
      <c r="A10" s="172">
        <v>10.5</v>
      </c>
      <c r="B10" s="148">
        <v>42278</v>
      </c>
      <c r="C10" s="149" t="s">
        <v>302</v>
      </c>
    </row>
    <row r="11" spans="1:3" x14ac:dyDescent="0.2">
      <c r="A11" s="172">
        <v>10.6</v>
      </c>
      <c r="B11" s="148">
        <v>42305</v>
      </c>
      <c r="C11" s="149" t="s">
        <v>303</v>
      </c>
    </row>
    <row r="12" spans="1:3" x14ac:dyDescent="0.2">
      <c r="A12" s="172">
        <v>10.7</v>
      </c>
      <c r="B12" s="148">
        <v>42328</v>
      </c>
      <c r="C12" s="149" t="s">
        <v>304</v>
      </c>
    </row>
    <row r="13" spans="1:3" ht="38.25" x14ac:dyDescent="0.2">
      <c r="A13" s="172">
        <v>10.8</v>
      </c>
      <c r="B13" s="148">
        <v>42517</v>
      </c>
      <c r="C13" s="149" t="s">
        <v>305</v>
      </c>
    </row>
    <row r="14" spans="1:3" x14ac:dyDescent="0.2">
      <c r="A14" s="172">
        <v>10.81</v>
      </c>
      <c r="B14" s="148">
        <v>42625</v>
      </c>
      <c r="C14" s="149" t="s">
        <v>306</v>
      </c>
    </row>
    <row r="15" spans="1:3" x14ac:dyDescent="0.2">
      <c r="A15" s="172">
        <v>10.82</v>
      </c>
      <c r="B15" s="148">
        <v>42727</v>
      </c>
      <c r="C15" s="149" t="s">
        <v>307</v>
      </c>
    </row>
    <row r="16" spans="1:3" x14ac:dyDescent="0.2">
      <c r="A16" s="172">
        <v>10.83</v>
      </c>
      <c r="B16" s="148">
        <v>42793</v>
      </c>
      <c r="C16" s="149" t="s">
        <v>308</v>
      </c>
    </row>
    <row r="17" spans="1:3" x14ac:dyDescent="0.2">
      <c r="A17" s="172">
        <v>11</v>
      </c>
      <c r="B17" s="148">
        <v>42815</v>
      </c>
      <c r="C17" s="149" t="s">
        <v>309</v>
      </c>
    </row>
    <row r="18" spans="1:3" x14ac:dyDescent="0.2">
      <c r="A18" s="172">
        <v>11.1</v>
      </c>
      <c r="B18" s="148">
        <v>42829</v>
      </c>
      <c r="C18" s="149" t="s">
        <v>310</v>
      </c>
    </row>
    <row r="19" spans="1:3" x14ac:dyDescent="0.2">
      <c r="A19" s="172">
        <v>11.12</v>
      </c>
      <c r="B19" s="148">
        <v>42895</v>
      </c>
      <c r="C19" s="149" t="s">
        <v>311</v>
      </c>
    </row>
    <row r="20" spans="1:3" x14ac:dyDescent="0.2">
      <c r="A20" s="172">
        <v>11.14</v>
      </c>
      <c r="B20" s="148">
        <v>42963</v>
      </c>
      <c r="C20" s="149" t="s">
        <v>312</v>
      </c>
    </row>
    <row r="21" spans="1:3" ht="42" customHeight="1" x14ac:dyDescent="0.2">
      <c r="A21" s="172">
        <v>12</v>
      </c>
      <c r="B21" s="148">
        <v>42963</v>
      </c>
      <c r="C21" s="149" t="s">
        <v>313</v>
      </c>
    </row>
    <row r="22" spans="1:3" x14ac:dyDescent="0.2">
      <c r="A22" s="172">
        <v>12.01</v>
      </c>
      <c r="B22" s="148">
        <v>42964</v>
      </c>
      <c r="C22" s="149" t="s">
        <v>314</v>
      </c>
    </row>
    <row r="23" spans="1:3" ht="25.5" x14ac:dyDescent="0.2">
      <c r="A23" s="172">
        <v>12.02</v>
      </c>
      <c r="B23" s="148">
        <v>43059</v>
      </c>
      <c r="C23" s="149" t="s">
        <v>315</v>
      </c>
    </row>
    <row r="24" spans="1:3" x14ac:dyDescent="0.2">
      <c r="A24" s="172">
        <v>12.03</v>
      </c>
      <c r="B24" s="148">
        <v>43152</v>
      </c>
      <c r="C24" s="149" t="s">
        <v>316</v>
      </c>
    </row>
    <row r="25" spans="1:3" x14ac:dyDescent="0.2">
      <c r="A25" s="172">
        <v>12.04</v>
      </c>
      <c r="B25" s="148">
        <v>43249</v>
      </c>
      <c r="C25" s="149" t="s">
        <v>317</v>
      </c>
    </row>
    <row r="26" spans="1:3" x14ac:dyDescent="0.2">
      <c r="A26" s="172">
        <v>12.05</v>
      </c>
      <c r="B26" s="148">
        <v>43301</v>
      </c>
      <c r="C26" s="149" t="s">
        <v>318</v>
      </c>
    </row>
    <row r="27" spans="1:3" ht="25.5" x14ac:dyDescent="0.2">
      <c r="A27" s="172">
        <v>12.06</v>
      </c>
      <c r="B27" s="148">
        <v>43412</v>
      </c>
      <c r="C27" s="149" t="s">
        <v>319</v>
      </c>
    </row>
    <row r="28" spans="1:3" ht="25.5" x14ac:dyDescent="0.2">
      <c r="A28" s="172">
        <v>13.02</v>
      </c>
      <c r="B28" s="148">
        <v>43412</v>
      </c>
      <c r="C28" s="149" t="s">
        <v>320</v>
      </c>
    </row>
    <row r="29" spans="1:3" x14ac:dyDescent="0.2">
      <c r="A29" s="172">
        <v>13.03</v>
      </c>
      <c r="B29" s="148">
        <v>43542</v>
      </c>
      <c r="C29" s="149" t="s">
        <v>321</v>
      </c>
    </row>
    <row r="30" spans="1:3" x14ac:dyDescent="0.2">
      <c r="A30" s="172">
        <v>13.04</v>
      </c>
      <c r="B30" s="148">
        <v>43733</v>
      </c>
      <c r="C30" s="149" t="s">
        <v>322</v>
      </c>
    </row>
    <row r="31" spans="1:3" x14ac:dyDescent="0.2">
      <c r="A31" s="172">
        <v>13.06</v>
      </c>
      <c r="B31" s="148">
        <v>43920</v>
      </c>
      <c r="C31" s="147" t="s">
        <v>323</v>
      </c>
    </row>
    <row r="32" spans="1:3" x14ac:dyDescent="0.2">
      <c r="A32" s="172">
        <v>13.07</v>
      </c>
      <c r="B32" s="148">
        <v>44004</v>
      </c>
      <c r="C32" s="147" t="s">
        <v>324</v>
      </c>
    </row>
    <row r="33" spans="1:3" x14ac:dyDescent="0.2">
      <c r="A33" s="172">
        <v>13.08</v>
      </c>
      <c r="B33" s="148">
        <v>44151</v>
      </c>
      <c r="C33" s="147" t="s">
        <v>325</v>
      </c>
    </row>
    <row r="34" spans="1:3" x14ac:dyDescent="0.2">
      <c r="A34" s="172">
        <v>13.09</v>
      </c>
      <c r="C34" s="147" t="s">
        <v>326</v>
      </c>
    </row>
    <row r="35" spans="1:3" x14ac:dyDescent="0.2">
      <c r="A35" s="172">
        <v>13.1</v>
      </c>
      <c r="B35" s="148">
        <v>44382</v>
      </c>
      <c r="C35" s="147" t="s">
        <v>327</v>
      </c>
    </row>
    <row r="36" spans="1:3" x14ac:dyDescent="0.2">
      <c r="A36" s="172">
        <v>13.11</v>
      </c>
      <c r="B36" s="148">
        <v>44477</v>
      </c>
      <c r="C36" s="147" t="s">
        <v>328</v>
      </c>
    </row>
    <row r="37" spans="1:3" x14ac:dyDescent="0.2">
      <c r="A37" s="172">
        <v>13.12</v>
      </c>
      <c r="B37" s="148">
        <v>44501</v>
      </c>
      <c r="C37" s="147" t="s">
        <v>329</v>
      </c>
    </row>
    <row r="38" spans="1:3" x14ac:dyDescent="0.2">
      <c r="A38" s="172">
        <v>13.13</v>
      </c>
      <c r="B38" s="148">
        <v>44785</v>
      </c>
      <c r="C38" s="147" t="s">
        <v>330</v>
      </c>
    </row>
    <row r="39" spans="1:3" x14ac:dyDescent="0.2">
      <c r="A39" s="215">
        <v>13.14</v>
      </c>
      <c r="B39" s="148">
        <v>45036</v>
      </c>
      <c r="C39" s="147" t="s">
        <v>331</v>
      </c>
    </row>
    <row r="40" spans="1:3" x14ac:dyDescent="0.2">
      <c r="A40" s="215">
        <v>13.15</v>
      </c>
      <c r="B40" s="216">
        <v>45352</v>
      </c>
      <c r="C40" s="147" t="s">
        <v>332</v>
      </c>
    </row>
    <row r="41" spans="1:3" x14ac:dyDescent="0.2">
      <c r="A41" s="215">
        <v>13.16</v>
      </c>
      <c r="B41" s="148">
        <v>45474</v>
      </c>
      <c r="C41" s="147" t="s">
        <v>333</v>
      </c>
    </row>
    <row r="42" spans="1:3" x14ac:dyDescent="0.2">
      <c r="A42" s="215">
        <v>13.17</v>
      </c>
      <c r="B42" s="216">
        <v>45689</v>
      </c>
      <c r="C42" s="147" t="s">
        <v>334</v>
      </c>
    </row>
    <row r="43" spans="1:3" x14ac:dyDescent="0.2">
      <c r="A43" s="215">
        <v>13.18</v>
      </c>
      <c r="B43" s="216">
        <v>45870</v>
      </c>
      <c r="C43" s="147" t="s">
        <v>335</v>
      </c>
    </row>
    <row r="44" spans="1:3" x14ac:dyDescent="0.2">
      <c r="A44" s="147">
        <v>13.19</v>
      </c>
      <c r="B44" s="216">
        <v>45992</v>
      </c>
      <c r="C44" s="147" t="s">
        <v>336</v>
      </c>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theme="0" tint="-0.34998626667073579"/>
  </sheetPr>
  <dimension ref="A1:V8"/>
  <sheetViews>
    <sheetView zoomScale="90" zoomScaleNormal="90" workbookViewId="0">
      <selection activeCell="J30" sqref="J30"/>
    </sheetView>
  </sheetViews>
  <sheetFormatPr defaultRowHeight="12.75" x14ac:dyDescent="0.2"/>
  <cols>
    <col min="2" max="2" width="13.140625" bestFit="1" customWidth="1"/>
    <col min="3" max="3" width="14.42578125" customWidth="1"/>
    <col min="4" max="4" width="22.5703125" style="55" customWidth="1"/>
    <col min="5" max="6" width="11.140625" bestFit="1" customWidth="1"/>
    <col min="7" max="14" width="14.140625" bestFit="1" customWidth="1"/>
    <col min="15" max="22" width="11.140625" bestFit="1" customWidth="1"/>
  </cols>
  <sheetData>
    <row r="1" spans="1:22" ht="39" thickBot="1" x14ac:dyDescent="0.25">
      <c r="B1" s="550" t="s">
        <v>337</v>
      </c>
      <c r="C1" s="551"/>
      <c r="D1" s="552"/>
      <c r="E1" s="69" t="s">
        <v>219</v>
      </c>
      <c r="F1" s="67" t="s">
        <v>220</v>
      </c>
      <c r="G1" s="67" t="s">
        <v>98</v>
      </c>
      <c r="H1" s="67" t="s">
        <v>221</v>
      </c>
      <c r="I1" s="67" t="s">
        <v>222</v>
      </c>
      <c r="J1" s="67" t="s">
        <v>223</v>
      </c>
      <c r="K1" s="67" t="s">
        <v>224</v>
      </c>
      <c r="L1" s="67" t="s">
        <v>225</v>
      </c>
      <c r="M1" s="67" t="s">
        <v>226</v>
      </c>
      <c r="N1" s="67" t="s">
        <v>227</v>
      </c>
      <c r="O1" s="68" t="s">
        <v>228</v>
      </c>
      <c r="P1" s="68" t="s">
        <v>229</v>
      </c>
      <c r="Q1" s="68" t="s">
        <v>230</v>
      </c>
      <c r="R1" s="68" t="s">
        <v>231</v>
      </c>
      <c r="S1" s="68" t="s">
        <v>232</v>
      </c>
      <c r="T1" s="68" t="s">
        <v>233</v>
      </c>
      <c r="U1" s="68" t="s">
        <v>234</v>
      </c>
      <c r="V1" s="68" t="s">
        <v>235</v>
      </c>
    </row>
    <row r="2" spans="1:22" s="56" customFormat="1" ht="38.25" x14ac:dyDescent="0.2">
      <c r="B2" s="70" t="s">
        <v>338</v>
      </c>
      <c r="C2" s="70" t="s">
        <v>339</v>
      </c>
      <c r="D2" s="70" t="s">
        <v>340</v>
      </c>
      <c r="E2" s="66">
        <v>339.5</v>
      </c>
      <c r="F2" s="66">
        <v>493</v>
      </c>
      <c r="G2" s="66">
        <f>F2+120</f>
        <v>613</v>
      </c>
      <c r="H2" s="66">
        <f>G2+120</f>
        <v>733</v>
      </c>
      <c r="I2" s="66">
        <f>H2+120</f>
        <v>853</v>
      </c>
      <c r="J2" s="66">
        <f>I2+120</f>
        <v>973</v>
      </c>
      <c r="K2" s="317">
        <f>J2+(J2-I2)</f>
        <v>1093</v>
      </c>
      <c r="L2" s="317">
        <f>K2+(K2-J2)</f>
        <v>1213</v>
      </c>
      <c r="M2" s="317">
        <f>L2+(L2-K2)</f>
        <v>1333</v>
      </c>
      <c r="N2" s="317">
        <f>M2+(M2-L2)</f>
        <v>1453</v>
      </c>
      <c r="O2" s="66">
        <f>E2+120</f>
        <v>459.5</v>
      </c>
      <c r="P2" s="66">
        <f>O2+120</f>
        <v>579.5</v>
      </c>
      <c r="Q2" s="66">
        <f>P2+120</f>
        <v>699.5</v>
      </c>
      <c r="R2" s="66">
        <f>Q2+120</f>
        <v>819.5</v>
      </c>
      <c r="S2" s="317">
        <f>R2+(R2-Q2)</f>
        <v>939.5</v>
      </c>
      <c r="T2" s="317">
        <f>S2+(S2-R2)</f>
        <v>1059.5</v>
      </c>
      <c r="U2" s="317">
        <f>T2+(T2-S2)</f>
        <v>1179.5</v>
      </c>
      <c r="V2" s="317">
        <f>U2+(U2-T2)</f>
        <v>1299.5</v>
      </c>
    </row>
    <row r="3" spans="1:22" x14ac:dyDescent="0.2">
      <c r="B3" s="59" t="s">
        <v>218</v>
      </c>
      <c r="C3" s="59"/>
      <c r="D3" s="60"/>
      <c r="E3" s="59"/>
      <c r="F3" s="59"/>
      <c r="G3" s="59"/>
      <c r="H3" s="59"/>
      <c r="I3" s="59"/>
      <c r="J3" s="59"/>
      <c r="K3" s="59"/>
      <c r="L3" s="59"/>
      <c r="M3" s="59"/>
      <c r="N3" s="59"/>
      <c r="O3" s="59"/>
      <c r="P3" s="59"/>
      <c r="Q3" s="59"/>
      <c r="R3" s="59"/>
      <c r="S3" s="59"/>
      <c r="T3" s="59"/>
      <c r="U3" s="59"/>
      <c r="V3" s="59"/>
    </row>
    <row r="4" spans="1:22" x14ac:dyDescent="0.2">
      <c r="B4" s="61" t="s">
        <v>341</v>
      </c>
      <c r="C4" s="62" t="s">
        <v>342</v>
      </c>
      <c r="D4" s="63" t="s">
        <v>343</v>
      </c>
      <c r="E4" s="64">
        <f>(E$2*52)/12</f>
        <v>1471.1666666666667</v>
      </c>
      <c r="F4" s="64">
        <f t="shared" ref="F4:V4" si="0">(F$2*52)/12</f>
        <v>2136.3333333333335</v>
      </c>
      <c r="G4" s="64">
        <f t="shared" si="0"/>
        <v>2656.3333333333335</v>
      </c>
      <c r="H4" s="64">
        <f t="shared" si="0"/>
        <v>3176.3333333333335</v>
      </c>
      <c r="I4" s="64">
        <f t="shared" si="0"/>
        <v>3696.3333333333335</v>
      </c>
      <c r="J4" s="64">
        <f t="shared" si="0"/>
        <v>4216.333333333333</v>
      </c>
      <c r="K4" s="64">
        <f t="shared" si="0"/>
        <v>4736.333333333333</v>
      </c>
      <c r="L4" s="64">
        <f t="shared" si="0"/>
        <v>5256.333333333333</v>
      </c>
      <c r="M4" s="64">
        <f t="shared" si="0"/>
        <v>5776.333333333333</v>
      </c>
      <c r="N4" s="64">
        <f t="shared" si="0"/>
        <v>6296.333333333333</v>
      </c>
      <c r="O4" s="64">
        <f t="shared" si="0"/>
        <v>1991.1666666666667</v>
      </c>
      <c r="P4" s="64">
        <f t="shared" si="0"/>
        <v>2511.1666666666665</v>
      </c>
      <c r="Q4" s="64">
        <f t="shared" si="0"/>
        <v>3031.1666666666665</v>
      </c>
      <c r="R4" s="64">
        <f t="shared" si="0"/>
        <v>3551.1666666666665</v>
      </c>
      <c r="S4" s="64">
        <f t="shared" si="0"/>
        <v>4071.1666666666665</v>
      </c>
      <c r="T4" s="64">
        <f t="shared" si="0"/>
        <v>4591.166666666667</v>
      </c>
      <c r="U4" s="64">
        <f t="shared" si="0"/>
        <v>5111.166666666667</v>
      </c>
      <c r="V4" s="64">
        <f t="shared" si="0"/>
        <v>5631.166666666667</v>
      </c>
    </row>
    <row r="5" spans="1:22" x14ac:dyDescent="0.2">
      <c r="B5" s="59"/>
      <c r="C5" s="59"/>
      <c r="D5" s="60"/>
      <c r="E5" s="59"/>
      <c r="F5" s="59"/>
      <c r="G5" s="59"/>
      <c r="H5" s="59"/>
      <c r="I5" s="65"/>
      <c r="J5" s="65"/>
      <c r="K5" s="65"/>
      <c r="L5" s="65"/>
      <c r="M5" s="65"/>
      <c r="N5" s="65"/>
      <c r="O5" s="65"/>
      <c r="P5" s="65"/>
      <c r="Q5" s="65"/>
      <c r="R5" s="65"/>
      <c r="S5" s="65"/>
      <c r="T5" s="65"/>
      <c r="U5" s="65"/>
      <c r="V5" s="65"/>
    </row>
    <row r="6" spans="1:22" x14ac:dyDescent="0.2">
      <c r="G6" s="144">
        <f>G4-F4</f>
        <v>520</v>
      </c>
      <c r="H6" s="144">
        <f t="shared" ref="H6:N6" si="1">H4-G4</f>
        <v>520</v>
      </c>
      <c r="I6" s="144">
        <f t="shared" si="1"/>
        <v>520</v>
      </c>
      <c r="J6" s="144">
        <f t="shared" si="1"/>
        <v>519.99999999999955</v>
      </c>
      <c r="K6" s="144">
        <f t="shared" si="1"/>
        <v>520</v>
      </c>
      <c r="L6" s="144">
        <f t="shared" si="1"/>
        <v>520</v>
      </c>
      <c r="M6" s="144">
        <f t="shared" si="1"/>
        <v>520</v>
      </c>
      <c r="N6" s="144">
        <f t="shared" si="1"/>
        <v>520</v>
      </c>
      <c r="O6" s="144">
        <f>O4-E4</f>
        <v>520</v>
      </c>
      <c r="P6" s="144">
        <f>P4-O4</f>
        <v>519.99999999999977</v>
      </c>
      <c r="Q6" s="144">
        <f t="shared" ref="Q6:V6" si="2">Q4-P4</f>
        <v>520</v>
      </c>
      <c r="R6" s="144">
        <f t="shared" si="2"/>
        <v>520</v>
      </c>
      <c r="S6" s="144">
        <f t="shared" si="2"/>
        <v>520</v>
      </c>
      <c r="T6" s="144">
        <f t="shared" si="2"/>
        <v>520.00000000000045</v>
      </c>
      <c r="U6" s="144">
        <f t="shared" si="2"/>
        <v>520</v>
      </c>
      <c r="V6" s="144">
        <f t="shared" si="2"/>
        <v>520</v>
      </c>
    </row>
    <row r="7" spans="1:22" x14ac:dyDescent="0.2">
      <c r="I7" s="38"/>
    </row>
    <row r="8" spans="1:22" x14ac:dyDescent="0.2">
      <c r="A8" s="58" t="s">
        <v>344</v>
      </c>
      <c r="B8" s="57" t="s">
        <v>345</v>
      </c>
    </row>
  </sheetData>
  <mergeCells count="1">
    <mergeCell ref="B1:D1"/>
  </mergeCells>
  <hyperlinks>
    <hyperlink ref="B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882e92-7048-47ff-aed4-640a6993bfb9">
      <Terms xmlns="http://schemas.microsoft.com/office/infopath/2007/PartnerControls"/>
    </lcf76f155ced4ddcb4097134ff3c332f>
    <TaxCatchAll xmlns="b517f410-3b25-4960-9412-354a7c27fc5e" xsi:nil="true"/>
    <Business_x0020_Unit xmlns="4a882e92-7048-47ff-aed4-640a6993bfb9">Credit Services</Business_x0020_Unit>
    <_Flow_SignoffStatus xmlns="4a882e92-7048-47ff-aed4-640a6993bf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A1CA12132BE8438BBB7020BB67AB65" ma:contentTypeVersion="16" ma:contentTypeDescription="Create a new document." ma:contentTypeScope="" ma:versionID="df50001ccdfed38783c900eed6eacd56">
  <xsd:schema xmlns:xsd="http://www.w3.org/2001/XMLSchema" xmlns:xs="http://www.w3.org/2001/XMLSchema" xmlns:p="http://schemas.microsoft.com/office/2006/metadata/properties" xmlns:ns2="4a882e92-7048-47ff-aed4-640a6993bfb9" xmlns:ns3="b517f410-3b25-4960-9412-354a7c27fc5e" targetNamespace="http://schemas.microsoft.com/office/2006/metadata/properties" ma:root="true" ma:fieldsID="083183ccfa005bc3976d8cac99e1096b" ns2:_="" ns3:_="">
    <xsd:import namespace="4a882e92-7048-47ff-aed4-640a6993bfb9"/>
    <xsd:import namespace="b517f410-3b25-4960-9412-354a7c27fc5e"/>
    <xsd:element name="properties">
      <xsd:complexType>
        <xsd:sequence>
          <xsd:element name="documentManagement">
            <xsd:complexType>
              <xsd:all>
                <xsd:element ref="ns2:Business_x0020_Unit"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882e92-7048-47ff-aed4-640a6993bfb9"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restriction base="dms:Choice">
          <xsd:enumeration value="Member Experience"/>
          <xsd:enumeration value="Broker / Third Party"/>
          <xsd:enumeration value="Marketing"/>
          <xsd:enumeration value="Credit Services"/>
          <xsd:enumeration value="Collections"/>
          <xsd:enumeration value="Member Operations"/>
          <xsd:enumeration value="Member Administration"/>
          <xsd:enumeration value="Finance"/>
          <xsd:enumeration value="Risk and Compliance"/>
          <xsd:enumeration value="Talent Management"/>
          <xsd:enumeration value="Technology and Analytics"/>
          <xsd:enumeration value="Corporate Services"/>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56cbcc8-65f6-4689-93e3-79f213b7159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Flow_SignoffStatus" ma:index="23"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17f410-3b25-4960-9412-354a7c27fc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d0d686-603f-43ea-956d-1cacf7240e11}" ma:internalName="TaxCatchAll" ma:showField="CatchAllData" ma:web="b517f410-3b25-4960-9412-354a7c27f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94B32C-6CC8-46D6-B96C-73E4DBFB1F6B}">
  <ds:schemaRefs>
    <ds:schemaRef ds:uri="http://purl.org/dc/dcmitype/"/>
    <ds:schemaRef ds:uri="4a882e92-7048-47ff-aed4-640a6993bfb9"/>
    <ds:schemaRef ds:uri="http://schemas.microsoft.com/office/2006/documentManagement/types"/>
    <ds:schemaRef ds:uri="http://schemas.microsoft.com/office/2006/metadata/properties"/>
    <ds:schemaRef ds:uri="http://schemas.openxmlformats.org/package/2006/metadata/core-properties"/>
    <ds:schemaRef ds:uri="b517f410-3b25-4960-9412-354a7c27fc5e"/>
    <ds:schemaRef ds:uri="http://schemas.microsoft.com/office/infopath/2007/PartnerControls"/>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46CAF8CF-32F0-406B-A8CF-5BDB40F2E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882e92-7048-47ff-aed4-640a6993bfb9"/>
    <ds:schemaRef ds:uri="b517f410-3b25-4960-9412-354a7c27f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69861-12CA-4D06-80CA-86F7185D0F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173</vt:i4>
      </vt:variant>
    </vt:vector>
  </HeadingPairs>
  <TitlesOfParts>
    <vt:vector size="181" baseType="lpstr">
      <vt:lpstr>Help</vt:lpstr>
      <vt:lpstr>Main</vt:lpstr>
      <vt:lpstr>PrintCopy</vt:lpstr>
      <vt:lpstr>CalculationsReference</vt:lpstr>
      <vt:lpstr>HiddenReference</vt:lpstr>
      <vt:lpstr>HEM Data</vt:lpstr>
      <vt:lpstr>Change Log</vt:lpstr>
      <vt:lpstr>HPI - Extended Compositions</vt:lpstr>
      <vt:lpstr>Appl_Annual_Income_inc_Overtime_1</vt:lpstr>
      <vt:lpstr>Appl_Annual_Income_inc_Overtime_2</vt:lpstr>
      <vt:lpstr>Appl_Annual_Income_inc_Overtime_3</vt:lpstr>
      <vt:lpstr>Appl_Annual_Income_inc_Overtime_4</vt:lpstr>
      <vt:lpstr>Appl_Annual_Income_inc_Overtime_5</vt:lpstr>
      <vt:lpstr>Appl_Annual_Income_inc_Overtime_6</vt:lpstr>
      <vt:lpstr>PrintCopy!Applicable_Living_Expenses</vt:lpstr>
      <vt:lpstr>Applicable_Living_Expenses</vt:lpstr>
      <vt:lpstr>PrintCopy!Applicant_Name</vt:lpstr>
      <vt:lpstr>Applicant_Name</vt:lpstr>
      <vt:lpstr>Applicant_Type</vt:lpstr>
      <vt:lpstr>Applicant1_GAIncome</vt:lpstr>
      <vt:lpstr>PrintCopy!Applicant1_GARental</vt:lpstr>
      <vt:lpstr>Applicant1_GARental</vt:lpstr>
      <vt:lpstr>PrintCopy!Applicant1_GIncome</vt:lpstr>
      <vt:lpstr>Applicant1_GIncome</vt:lpstr>
      <vt:lpstr>PrintCopy!Applicant1_IncFreq</vt:lpstr>
      <vt:lpstr>Applicant1_IncFreq</vt:lpstr>
      <vt:lpstr>Applicant2_GAIncome</vt:lpstr>
      <vt:lpstr>PrintCopy!Applicant2_GARental</vt:lpstr>
      <vt:lpstr>Applicant2_GARental</vt:lpstr>
      <vt:lpstr>PrintCopy!Applicant2_GIncome</vt:lpstr>
      <vt:lpstr>Applicant2_GIncome</vt:lpstr>
      <vt:lpstr>PrintCopy!Applicant2_IncFreq</vt:lpstr>
      <vt:lpstr>Applicant2_IncFreq</vt:lpstr>
      <vt:lpstr>Applicant3_GAIncome</vt:lpstr>
      <vt:lpstr>PrintCopy!Applicant3_GARental</vt:lpstr>
      <vt:lpstr>Applicant3_GARental</vt:lpstr>
      <vt:lpstr>PrintCopy!Applicant3_GIncome</vt:lpstr>
      <vt:lpstr>Applicant3_GIncome</vt:lpstr>
      <vt:lpstr>PrintCopy!Applicant3_IncFreq</vt:lpstr>
      <vt:lpstr>Applicant3_IncFreq</vt:lpstr>
      <vt:lpstr>Applicant4_GAIncome</vt:lpstr>
      <vt:lpstr>PrintCopy!Applicant4_GARental</vt:lpstr>
      <vt:lpstr>Applicant4_GARental</vt:lpstr>
      <vt:lpstr>PrintCopy!Applicant4_GIncome</vt:lpstr>
      <vt:lpstr>Applicant4_GIncome</vt:lpstr>
      <vt:lpstr>PrintCopy!Applicant4_IncFreq</vt:lpstr>
      <vt:lpstr>Applicant4_IncFreq</vt:lpstr>
      <vt:lpstr>Applicant5_GAIncome</vt:lpstr>
      <vt:lpstr>PrintCopy!Applicant5_GARental</vt:lpstr>
      <vt:lpstr>Applicant5_GARental</vt:lpstr>
      <vt:lpstr>PrintCopy!Applicant5_GIncome</vt:lpstr>
      <vt:lpstr>Applicant5_GIncome</vt:lpstr>
      <vt:lpstr>PrintCopy!Applicant5_IncFreq</vt:lpstr>
      <vt:lpstr>Applicant5_IncFreq</vt:lpstr>
      <vt:lpstr>Applicant6_GAIncome</vt:lpstr>
      <vt:lpstr>PrintCopy!Applicant6_GARental</vt:lpstr>
      <vt:lpstr>Applicant6_GARental</vt:lpstr>
      <vt:lpstr>PrintCopy!Applicant6_GIncome</vt:lpstr>
      <vt:lpstr>Applicant6_GIncome</vt:lpstr>
      <vt:lpstr>PrintCopy!Applicant6_IncFreq</vt:lpstr>
      <vt:lpstr>Applicant6_IncFreq</vt:lpstr>
      <vt:lpstr>APRA_Mortgage_INV_Months</vt:lpstr>
      <vt:lpstr>APRA_Mortgage_OO_Months</vt:lpstr>
      <vt:lpstr>APRA_Mortgage_Rate</vt:lpstr>
      <vt:lpstr>ARA</vt:lpstr>
      <vt:lpstr>ARA_MONTHLY</vt:lpstr>
      <vt:lpstr>ARA_Test_Result</vt:lpstr>
      <vt:lpstr>Blank_Value</vt:lpstr>
      <vt:lpstr>PrintCopy!Borrower_Type_Selected</vt:lpstr>
      <vt:lpstr>Borrower_Type_Selected</vt:lpstr>
      <vt:lpstr>CalcsRefPage</vt:lpstr>
      <vt:lpstr>Calculated_Living_Expense_Table</vt:lpstr>
      <vt:lpstr>Calculated_Living_Expenses</vt:lpstr>
      <vt:lpstr>PrintCopy!CalculatorMainPage</vt:lpstr>
      <vt:lpstr>CalculatorMainPage</vt:lpstr>
      <vt:lpstr>PrintCopy!Company_Business_Depreciation_Amount</vt:lpstr>
      <vt:lpstr>Company_Business_Depreciation_Amount</vt:lpstr>
      <vt:lpstr>PrintCopy!Company_NPBT_GAIncome</vt:lpstr>
      <vt:lpstr>Company_NPBT_GAIncome</vt:lpstr>
      <vt:lpstr>PrintCopy!Company_NPBT_GAIncomeMRY</vt:lpstr>
      <vt:lpstr>Company_NPBT_GAIncomeMRY</vt:lpstr>
      <vt:lpstr>PrintCopy!Company_NPBT_GAIncomePY</vt:lpstr>
      <vt:lpstr>Company_NPBT_GAIncomePY</vt:lpstr>
      <vt:lpstr>PrintCopy!Company_NPBT_GARental</vt:lpstr>
      <vt:lpstr>Company_NPBT_GARental</vt:lpstr>
      <vt:lpstr>CompanyRentalAllowance</vt:lpstr>
      <vt:lpstr>CompanyTaxRate</vt:lpstr>
      <vt:lpstr>Credit_Card_Limit</vt:lpstr>
      <vt:lpstr>Credit_Card_Monthly_Payment</vt:lpstr>
      <vt:lpstr>Credit_Card_Monthly_Payment_Percent</vt:lpstr>
      <vt:lpstr>Credit_Card_Monthly_Payment_Percent_Amigo</vt:lpstr>
      <vt:lpstr>Credit_Card_Monthly_Payment_Percent_OtherBanks</vt:lpstr>
      <vt:lpstr>Credit_Card_Monthly_Percent</vt:lpstr>
      <vt:lpstr>Credit_Card_Monthly_Percent_Amigo</vt:lpstr>
      <vt:lpstr>Credit_Card_Monthly_Percent_OtherBanks</vt:lpstr>
      <vt:lpstr>Error_Count</vt:lpstr>
      <vt:lpstr>Error_Table</vt:lpstr>
      <vt:lpstr>PrintCopy!Family_Paymants_Amount</vt:lpstr>
      <vt:lpstr>Family_Paymants_Amount</vt:lpstr>
      <vt:lpstr>PrintCopy!Family_Payments_Amount</vt:lpstr>
      <vt:lpstr>Family_Payments_Amount</vt:lpstr>
      <vt:lpstr>Gross_Annual_Income</vt:lpstr>
      <vt:lpstr>Gross_Annual_Income_Bands</vt:lpstr>
      <vt:lpstr>HelpTextPage</vt:lpstr>
      <vt:lpstr>LC1Adult</vt:lpstr>
      <vt:lpstr>LCAddChild</vt:lpstr>
      <vt:lpstr>LCCouple</vt:lpstr>
      <vt:lpstr>Living_Exp_for_ARA</vt:lpstr>
      <vt:lpstr>Living_Expenses</vt:lpstr>
      <vt:lpstr>PrintCopy!Living_Expenses_Override</vt:lpstr>
      <vt:lpstr>Living_Expenses_Override</vt:lpstr>
      <vt:lpstr>PrintCopy!Loan_Amount</vt:lpstr>
      <vt:lpstr>Loan_Amount</vt:lpstr>
      <vt:lpstr>PrintCopy!Loan_Interest_Rate</vt:lpstr>
      <vt:lpstr>Loan_Interest_Rate</vt:lpstr>
      <vt:lpstr>PrintCopy!Loan_Investment</vt:lpstr>
      <vt:lpstr>Loan_Investment</vt:lpstr>
      <vt:lpstr>PrintCopy!Loan_Owner_Occupied</vt:lpstr>
      <vt:lpstr>Loan_Owner_Occupied</vt:lpstr>
      <vt:lpstr>LOAN_TERM_MONTHS</vt:lpstr>
      <vt:lpstr>PrintCopy!Loan_Term_Years</vt:lpstr>
      <vt:lpstr>Loan_Term_Years</vt:lpstr>
      <vt:lpstr>Maximum_Loan_Amount_Text</vt:lpstr>
      <vt:lpstr>MaximumLoanAmount</vt:lpstr>
      <vt:lpstr>MedicareLevyRate</vt:lpstr>
      <vt:lpstr>Min_TaxableIncome</vt:lpstr>
      <vt:lpstr>Minimum_Servicing_Test_Rate</vt:lpstr>
      <vt:lpstr>PrintCopy!NET_DISPOSABLE_INCOME</vt:lpstr>
      <vt:lpstr>NET_DISPOSABLE_INCOME</vt:lpstr>
      <vt:lpstr>NSR_Test_Result</vt:lpstr>
      <vt:lpstr>NSRCalculated</vt:lpstr>
      <vt:lpstr>NSRCalculatedFormatted</vt:lpstr>
      <vt:lpstr>NSRInterestRate</vt:lpstr>
      <vt:lpstr>NSRRequired</vt:lpstr>
      <vt:lpstr>NSRRequiredFormatted</vt:lpstr>
      <vt:lpstr>PrintCopy!Other_Commits_Amount</vt:lpstr>
      <vt:lpstr>Other_Commits_Amount</vt:lpstr>
      <vt:lpstr>PrintCopy!Other_Commits_Payment</vt:lpstr>
      <vt:lpstr>Other_Commits_Payment</vt:lpstr>
      <vt:lpstr>PrintCopy!Other_Commits_Specify</vt:lpstr>
      <vt:lpstr>Other_Commits_Specify</vt:lpstr>
      <vt:lpstr>PrintCopy!Other_Commits_Total_Annual</vt:lpstr>
      <vt:lpstr>Other_Commits_Total_Annual</vt:lpstr>
      <vt:lpstr>PrintCopy!Other_Commits_Total_Monthly_Payment</vt:lpstr>
      <vt:lpstr>Other_Commits_Total_Monthly_Payment</vt:lpstr>
      <vt:lpstr>Other_CreditCard_Amigo_Limits</vt:lpstr>
      <vt:lpstr>Other_CreditCard_Banks_Limits</vt:lpstr>
      <vt:lpstr>Other_CreditCard_CFCU_Limits</vt:lpstr>
      <vt:lpstr>PrintCopy!Other_CreditCard_Limits</vt:lpstr>
      <vt:lpstr>PrintCopy!Other_Loans_Inv_Amount</vt:lpstr>
      <vt:lpstr>Other_Loans_Inv_Amount</vt:lpstr>
      <vt:lpstr>PrintCopy!Other_Loans_Inv_Payment</vt:lpstr>
      <vt:lpstr>Other_Loans_Inv_Payment</vt:lpstr>
      <vt:lpstr>PrintCopy!Other_Loans_OO_Amount</vt:lpstr>
      <vt:lpstr>Other_Loans_OO_Amount</vt:lpstr>
      <vt:lpstr>PrintCopy!Other_Loans_OO_Payment</vt:lpstr>
      <vt:lpstr>Other_Loans_OO_Payment</vt:lpstr>
      <vt:lpstr>PrintCopy!Other_Loans_Payment</vt:lpstr>
      <vt:lpstr>Other_Loans_Payment</vt:lpstr>
      <vt:lpstr>Other_Mtg_Inv_LoanTerm</vt:lpstr>
      <vt:lpstr>Other_Mtg_OO_LoanTerm</vt:lpstr>
      <vt:lpstr>Overtime_Haircut</vt:lpstr>
      <vt:lpstr>Payment_Frequency</vt:lpstr>
      <vt:lpstr>Payment_Frequency_Multiples</vt:lpstr>
      <vt:lpstr>CalculationsReference!Print_Area</vt:lpstr>
      <vt:lpstr>Help!Print_Area</vt:lpstr>
      <vt:lpstr>HiddenReference!Print_Area</vt:lpstr>
      <vt:lpstr>Main!Print_Area</vt:lpstr>
      <vt:lpstr>PrintCopy!Print_Area</vt:lpstr>
      <vt:lpstr>Proposed_Loan_Monthly_Payment</vt:lpstr>
      <vt:lpstr>Rental_Allowance_Factor</vt:lpstr>
      <vt:lpstr>RentalAllowance</vt:lpstr>
      <vt:lpstr>Secured_Credit_Monthly_Percent</vt:lpstr>
      <vt:lpstr>SVR</vt:lpstr>
      <vt:lpstr>TaxScales</vt:lpstr>
      <vt:lpstr>PrintCopy!TOTAL_COSTS</vt:lpstr>
      <vt:lpstr>TOTAL_COSTS</vt:lpstr>
      <vt:lpstr>Total_Gross_Annual_Income</vt:lpstr>
      <vt:lpstr>PrintCopy!Total_Net_Annual_Income</vt:lpstr>
      <vt:lpstr>Total_Net_Annual_Income</vt:lpstr>
      <vt:lpstr>Zero_Value</vt:lpstr>
    </vt:vector>
  </TitlesOfParts>
  <Manager/>
  <Company>Australian Mortgage Securities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AMS</dc:creator>
  <cp:keywords/>
  <dc:description/>
  <cp:lastModifiedBy>James Parsons</cp:lastModifiedBy>
  <cp:revision/>
  <dcterms:created xsi:type="dcterms:W3CDTF">2001-08-19T05:30:08Z</dcterms:created>
  <dcterms:modified xsi:type="dcterms:W3CDTF">2026-02-17T04:08:11Z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0x010100A4A1CA12132BE8438BBB7020BB67AB65</vt:lpwstr>
  </property>
  <property fmtid="{D5CDD505-2E9C-101B-9397-08002B2CF9AE}" pid="3" name="MediaServiceImageTags">
    <vt:lpwstr/>
  </property>
</Properties>
</file>