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0"/>
  <workbookPr codeName="ThisWorkbook"/>
  <mc:AlternateContent xmlns:mc="http://schemas.openxmlformats.org/markup-compatibility/2006">
    <mc:Choice Requires="x15">
      <x15ac:absPath xmlns:x15ac="http://schemas.microsoft.com/office/spreadsheetml/2010/11/ac" url="N:\Areas\Operations\Loans\Servicing Calculators\Personal Loans\"/>
    </mc:Choice>
  </mc:AlternateContent>
  <xr:revisionPtr revIDLastSave="16" documentId="13_ncr:1_{F23C2FC1-E7CB-4501-AB05-928B12CE6AE0}" xr6:coauthVersionLast="47" xr6:coauthVersionMax="47" xr10:uidLastSave="{EDEC0D01-13BA-49A6-85CB-82A7D71677BA}"/>
  <workbookProtection workbookAlgorithmName="SHA-512" workbookHashValue="RrS5EnNqmWE7Urj3JbUjI/HT9kG3qM7epVsl1i655VjcwTP6IiWpLr0k2YRBS9lDzQVXjwPEwZFDw0wpZThR1g==" workbookSaltValue="7utdNuOyeFs4c6zFPGTDEg==" workbookSpinCount="100000" lockStructure="1"/>
  <bookViews>
    <workbookView xWindow="28680" yWindow="-120" windowWidth="29040" windowHeight="15720" tabRatio="832" firstSheet="1"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Main!$D$29</definedName>
    <definedName name="Appl_Annual_Income_inc_Overtime_2">Main!$D$30</definedName>
    <definedName name="Appl_Annual_Income_inc_Overtime_3">Main!$D$31</definedName>
    <definedName name="Appl_Annual_Income_inc_Overtime_4">Main!$D$32</definedName>
    <definedName name="Appl_Annual_Income_inc_Overtime_5">Main!$D$33</definedName>
    <definedName name="Appl_Annual_Income_inc_Overtime_6">Main!$D$34</definedName>
    <definedName name="Applicable_Living_Expenses" localSheetId="2">PrintCopy!$E$45</definedName>
    <definedName name="Applicable_Living_Expenses">Main!$E$45</definedName>
    <definedName name="Applicant_Name" localSheetId="2">PrintCopy!$B$4</definedName>
    <definedName name="Applicant_Name">Main!$B$4</definedName>
    <definedName name="Applicant_Type">CalculationsReference!$B$51:$S$51</definedName>
    <definedName name="Applicant1_GAIncome">CalculationsReference!$B$23</definedName>
    <definedName name="Applicant1_GARental" localSheetId="2">PrintCopy!$F$29</definedName>
    <definedName name="Applicant1_GARental">Main!$F$29</definedName>
    <definedName name="Applicant1_GIncome" localSheetId="2">PrintCopy!$B$29</definedName>
    <definedName name="Applicant1_GIncome">Main!$B$29</definedName>
    <definedName name="Applicant1_IncFreq" localSheetId="2">PrintCopy!$C$29</definedName>
    <definedName name="Applicant1_IncFreq">Main!$C$29</definedName>
    <definedName name="Applicant2_GAIncome">CalculationsReference!$C$23</definedName>
    <definedName name="Applicant2_GARental" localSheetId="2">PrintCopy!$F$30</definedName>
    <definedName name="Applicant2_GARental">Main!$F$30</definedName>
    <definedName name="Applicant2_GIncome" localSheetId="2">PrintCopy!$B$30</definedName>
    <definedName name="Applicant2_GIncome">Main!$B$30</definedName>
    <definedName name="Applicant2_IncFreq" localSheetId="2">PrintCopy!$C$30</definedName>
    <definedName name="Applicant2_IncFreq">Main!$C$30</definedName>
    <definedName name="Applicant3_GAIncome">CalculationsReference!$D$23</definedName>
    <definedName name="Applicant3_GARental" localSheetId="2">PrintCopy!$F$31</definedName>
    <definedName name="Applicant3_GARental">Main!$F$31</definedName>
    <definedName name="Applicant3_GIncome" localSheetId="2">PrintCopy!$B$31</definedName>
    <definedName name="Applicant3_GIncome">Main!$B$31</definedName>
    <definedName name="Applicant3_IncFreq" localSheetId="2">PrintCopy!$C$31</definedName>
    <definedName name="Applicant3_IncFreq">Main!$C$31</definedName>
    <definedName name="Applicant4_GAIncome">CalculationsReference!$E$23</definedName>
    <definedName name="Applicant4_GARental" localSheetId="2">PrintCopy!$F$32</definedName>
    <definedName name="Applicant4_GARental">Main!$F$32</definedName>
    <definedName name="Applicant4_GIncome" localSheetId="2">PrintCopy!$B$32</definedName>
    <definedName name="Applicant4_GIncome">Main!$B$32</definedName>
    <definedName name="Applicant4_IncFreq" localSheetId="2">PrintCopy!$C$32</definedName>
    <definedName name="Applicant4_IncFreq">Main!$C$32</definedName>
    <definedName name="Applicant5_GAIncome">CalculationsReference!$F$23</definedName>
    <definedName name="Applicant5_GARental" localSheetId="2">PrintCopy!$F$33</definedName>
    <definedName name="Applicant5_GARental">Main!$F$33</definedName>
    <definedName name="Applicant5_GIncome" localSheetId="2">PrintCopy!$B$33</definedName>
    <definedName name="Applicant5_GIncome">Main!$B$33</definedName>
    <definedName name="Applicant5_IncFreq" localSheetId="2">PrintCopy!$C$33</definedName>
    <definedName name="Applicant5_IncFreq">Main!$C$33</definedName>
    <definedName name="Applicant6_GAIncome">CalculationsReference!$G$23</definedName>
    <definedName name="Applicant6_GARental" localSheetId="2">PrintCopy!$F$34</definedName>
    <definedName name="Applicant6_GARental">Main!$F$34</definedName>
    <definedName name="Applicant6_GIncome" localSheetId="2">PrintCopy!$B$34</definedName>
    <definedName name="Applicant6_GIncome">Main!$B$34</definedName>
    <definedName name="Applicant6_IncFreq" localSheetId="2">PrintCopy!$C$34</definedName>
    <definedName name="Applicant6_IncFreq">Main!$C$34</definedName>
    <definedName name="APRA_Mortgage_INV_Months" comment="The period in months required by APRA to be used in calculating Other Investment Mortgage repayments">HiddenReference!$C$14</definedName>
    <definedName name="APRA_Mortgage_OO_Months" comment="The period in months required by APRA to be used in calculating Other Owner Occupied Mortgage repayments">HiddenReference!$C$13</definedName>
    <definedName name="APRA_Mortgage_Rate" comment="Minimum APRA interest rate used in calculating Other Mortgage repayments">HiddenReference!$C$12</definedName>
    <definedName name="ARA">HiddenReference!$C$45</definedName>
    <definedName name="ARA_MONTHLY">HiddenReference!$C$46</definedName>
    <definedName name="ARA_Test_Result">HiddenReference!$C$47</definedName>
    <definedName name="Blank_Value">HiddenReference!$C$43</definedName>
    <definedName name="Borrower_Type_Selected" localSheetId="2">PrintCopy!$B$6</definedName>
    <definedName name="Borrower_Type_Selected">Main!$B$6</definedName>
    <definedName name="CalcsRefPage">CalculationsReference!$A$1:$I$42</definedName>
    <definedName name="Calculated_Living_Expense_Table">CalculationsReference!$B$52:$S$68</definedName>
    <definedName name="Calculated_Living_Expenses">HiddenReference!$C$19</definedName>
    <definedName name="CalculatorMainPage" localSheetId="2">PrintCopy!$A$1:$I$53</definedName>
    <definedName name="CalculatorMainPage">Main!$A$1:$I$53</definedName>
    <definedName name="CalculatorPrintPage" localSheetId="2">#REF!</definedName>
    <definedName name="CalculatorPrintPage">#REF!</definedName>
    <definedName name="Company_Business_Depreciation_Amount" localSheetId="2">PrintCopy!$I$39</definedName>
    <definedName name="Company_Business_Depreciation_Amount">Main!$I$39</definedName>
    <definedName name="Company_NPBT_GAIncome" localSheetId="2">PrintCopy!$E$38</definedName>
    <definedName name="Company_NPBT_GAIncome">Main!$E$38</definedName>
    <definedName name="Company_NPBT_GAIncomeMRY" localSheetId="2">PrintCopy!$E$36</definedName>
    <definedName name="Company_NPBT_GAIncomeMRY">Main!$E$36</definedName>
    <definedName name="Company_NPBT_GAIncomePY" localSheetId="2">PrintCopy!$E$37</definedName>
    <definedName name="Company_NPBT_GAIncomePY">Main!$E$37</definedName>
    <definedName name="Company_NPBT_GARental" localSheetId="2">PrintCopy!$F$36</definedName>
    <definedName name="Company_NPBT_GARental">Main!$F$36</definedName>
    <definedName name="CompanyRentalAllowance">HiddenReference!$G$10</definedName>
    <definedName name="CompanyTaxRate">HiddenReference!$C$9</definedName>
    <definedName name="Credit_Card_Brand">CalculationsReference!$C$13:$D$13</definedName>
    <definedName name="Credit_Card_Brand_Choice">Main!$D$9</definedName>
    <definedName name="Credit_Card_Limit">Main!$B$9</definedName>
    <definedName name="Credit_Card_Monthly_Payment">CalculationsReference!$E$11</definedName>
    <definedName name="Credit_Card_Monthly_Payment_Percent">CalculationsReference!$C$14</definedName>
    <definedName name="Credit_Card_Monthly_Payment_Percent_Amigo">CalculationsReference!$D$14</definedName>
    <definedName name="Credit_Card_Monthly_Payment_Percent_OtherBanks">CalculationsReference!$E$14</definedName>
    <definedName name="Credit_Card_Monthly_Percent">HiddenReference!$C$20</definedName>
    <definedName name="Credit_Card_Monthly_Percent_Amigo">HiddenReference!$C$21</definedName>
    <definedName name="Credit_Card_Monthly_Percent_OtherBanks">HiddenReference!$C$22</definedName>
    <definedName name="Dependent_Children" localSheetId="2">PrintCopy!#REF!</definedName>
    <definedName name="Dependent_Children">Main!#REF!</definedName>
    <definedName name="Error_Count">HiddenReference!$B$52</definedName>
    <definedName name="Error_Table">HiddenReference!$B$53:$I$53</definedName>
    <definedName name="Family_Paymants_Amount" localSheetId="2">PrintCopy!$I$39</definedName>
    <definedName name="Family_Paymants_Amount">Main!$I$39</definedName>
    <definedName name="Family_Payments_Amount" localSheetId="2">PrintCopy!$B$35</definedName>
    <definedName name="Family_Payments_Amount">Main!$B$35</definedName>
    <definedName name="Gross_Annual_Income">Main!$E$40</definedName>
    <definedName name="Gross_Annual_Income_Bands">CalculationsReference!$A$52:$A$68</definedName>
    <definedName name="HelpTextPage">Help!$A$1:$F$103</definedName>
    <definedName name="LC1Adult">HiddenReference!$C$16</definedName>
    <definedName name="LCAddChild">HiddenReference!$C$18</definedName>
    <definedName name="LCCouple">HiddenReference!$C$17</definedName>
    <definedName name="Living_Exp_for_ARA">Main!$J$45</definedName>
    <definedName name="Living_Expenses">CalculationsReference!$A$46</definedName>
    <definedName name="Living_Expenses_Override" localSheetId="2">PrintCopy!$E$44</definedName>
    <definedName name="Living_Expenses_Override">Main!$E$44</definedName>
    <definedName name="Loan_Amount" localSheetId="2">PrintCopy!$B$10</definedName>
    <definedName name="Loan_Amount">Main!$B$10</definedName>
    <definedName name="Loan_Interest_Rate" localSheetId="2">PrintCopy!$B$11</definedName>
    <definedName name="Loan_Interest_Rate">Main!$B$11</definedName>
    <definedName name="Loan_Investment" localSheetId="2">PrintCopy!$B$8</definedName>
    <definedName name="Loan_Investment">Main!$B$8</definedName>
    <definedName name="Loan_Owner_Occupied" localSheetId="2">PrintCopy!$B$7</definedName>
    <definedName name="Loan_Owner_Occupied">Main!$B$7</definedName>
    <definedName name="LOAN_TERM_MONTHS">Main!$B$12</definedName>
    <definedName name="Loan_Term_Years" localSheetId="2">PrintCopy!$B$13</definedName>
    <definedName name="Loan_Term_Years">Main!$B$13</definedName>
    <definedName name="Maximum_Loan_Amount_Text">HiddenReference!$C$51</definedName>
    <definedName name="MaximumLoanAmount">HiddenReference!$C$41</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Main!$F$53</definedName>
    <definedName name="NSR_Rate_Monthly_Payment">CalculationsReference!$G$11</definedName>
    <definedName name="NSR_Test_Result">HiddenReference!$C$33</definedName>
    <definedName name="NSRCalculated">HiddenReference!$C$29</definedName>
    <definedName name="NSRCalculatedFormatted">HiddenReference!$C$30</definedName>
    <definedName name="NSRInterestRate">HiddenReference!$C$24</definedName>
    <definedName name="NSRRequired">HiddenReference!$C$31</definedName>
    <definedName name="NSRRequiredFormatted">HiddenReference!$C$32</definedName>
    <definedName name="Other_Commits_Amount" localSheetId="2">PrintCopy!$G$24</definedName>
    <definedName name="Other_Commits_Amount">Main!$G$24</definedName>
    <definedName name="Other_Commits_Payment" localSheetId="2">PrintCopy!$H$24</definedName>
    <definedName name="Other_Commits_Payment">Main!$H$24</definedName>
    <definedName name="Other_Commits_Specify" localSheetId="2">PrintCopy!$E$24</definedName>
    <definedName name="Other_Commits_Specify">Main!$E$24</definedName>
    <definedName name="Other_Commits_Total_Annual" localSheetId="2">PrintCopy!$F$50</definedName>
    <definedName name="Other_Commits_Total_Annual">Main!$F$50</definedName>
    <definedName name="Other_Commits_Total_Monthly_Payment" localSheetId="2">PrintCopy!$H$26</definedName>
    <definedName name="Other_Commits_Total_Monthly_Payment">Main!$H$26</definedName>
    <definedName name="Other_CreditCard_Limits" localSheetId="2">PrintCopy!$G$20</definedName>
    <definedName name="Other_CreditCard_Limits">Main!$G$20</definedName>
    <definedName name="Other_Loans_Inv_Amount" localSheetId="2">PrintCopy!$G$19</definedName>
    <definedName name="Other_Loans_Inv_Amount">Main!$G$19</definedName>
    <definedName name="Other_Loans_Inv_Payment" localSheetId="2">PrintCopy!$H$19</definedName>
    <definedName name="Other_Loans_Inv_Payment">Main!$H$19</definedName>
    <definedName name="Other_Loans_OO_Amount" localSheetId="2">PrintCopy!$G$18</definedName>
    <definedName name="Other_Loans_OO_Amount">Main!$G$18</definedName>
    <definedName name="Other_Loans_OO_Payment" localSheetId="2">PrintCopy!$H$18</definedName>
    <definedName name="Other_Loans_OO_Payment">Main!$H$18</definedName>
    <definedName name="Other_Loans_Payment" localSheetId="2">PrintCopy!$H$19</definedName>
    <definedName name="Other_Loans_Payment">Main!$H$19</definedName>
    <definedName name="Other_Mtg_Inv_LoanTerm">HiddenReference!$F$14:$J$14</definedName>
    <definedName name="Other_Mtg_OO_LoanTerm">HiddenReference!$F$13:$K$13</definedName>
    <definedName name="Overtime_Haircut">HiddenReference!$C$11</definedName>
    <definedName name="Payment_Frequency">CalculationsReference!$H$3:$H$8</definedName>
    <definedName name="Payment_Frequency_Multiples">CalculationsReference!$H$3:$I$7</definedName>
    <definedName name="_xlnm.Print_Area" localSheetId="3">CalculationsReference!$A$1:$I$42</definedName>
    <definedName name="_xlnm.Print_Area" localSheetId="0">Help!$A$1:$F$106</definedName>
    <definedName name="_xlnm.Print_Area" localSheetId="4">HiddenReference!$A$1:$C$42</definedName>
    <definedName name="_xlnm.Print_Area" localSheetId="1">Main!$A$1:$K$56</definedName>
    <definedName name="_xlnm.Print_Area" localSheetId="2">PrintCopy!$A$1:$K$56</definedName>
    <definedName name="Proposed_Loan_Monthly_Payment">CalculationsReference!$C$11</definedName>
    <definedName name="Rental_Allowance_Factor">CalculationsReference!$C$15</definedName>
    <definedName name="RentalAllowance">HiddenReference!$C$10</definedName>
    <definedName name="Secured_Credit_Monthly_Percent">HiddenReference!$C$23</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HiddenReference!$C$29</definedName>
    <definedName name="solver_opt" localSheetId="2" hidden="1">HiddenReference!$C$29</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Main!$F$51</definedName>
    <definedName name="Total_Gross_Annual_Income">Main!$G$40</definedName>
    <definedName name="Total_Net_Annual_Income" localSheetId="2">PrintCopy!$I$40</definedName>
    <definedName name="Total_Net_Annual_Income">Main!$I$40</definedName>
    <definedName name="Zero_Value">HiddenReference!$C$44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1" l="1"/>
  <c r="D3" i="11"/>
  <c r="E3" i="11"/>
  <c r="F3" i="11"/>
  <c r="G3" i="11"/>
  <c r="H3" i="11"/>
  <c r="I3" i="11"/>
  <c r="J3" i="11"/>
  <c r="K3" i="11"/>
  <c r="L3" i="11"/>
  <c r="M3" i="11"/>
  <c r="N3" i="11"/>
  <c r="O3" i="11"/>
  <c r="C4" i="11"/>
  <c r="D4" i="11"/>
  <c r="E4" i="11"/>
  <c r="F4" i="11"/>
  <c r="G4" i="11"/>
  <c r="H4" i="11"/>
  <c r="I4" i="11"/>
  <c r="J4" i="11"/>
  <c r="K4" i="11"/>
  <c r="L4" i="11"/>
  <c r="M4" i="11"/>
  <c r="N4" i="11"/>
  <c r="O4" i="11"/>
  <c r="C5" i="11"/>
  <c r="D5" i="11"/>
  <c r="E5" i="11"/>
  <c r="F5" i="11"/>
  <c r="G5" i="11"/>
  <c r="H5" i="11"/>
  <c r="I5" i="11"/>
  <c r="J5" i="11"/>
  <c r="K5" i="11"/>
  <c r="L5" i="11"/>
  <c r="M5" i="11"/>
  <c r="N5" i="11"/>
  <c r="O5" i="11"/>
  <c r="C6" i="11"/>
  <c r="D6" i="11"/>
  <c r="E6" i="11"/>
  <c r="F6" i="11"/>
  <c r="G6" i="11"/>
  <c r="H6" i="11"/>
  <c r="I6" i="11"/>
  <c r="J6" i="11"/>
  <c r="K6" i="11"/>
  <c r="L6" i="11"/>
  <c r="M6" i="11"/>
  <c r="N6" i="11"/>
  <c r="O6" i="11"/>
  <c r="C8" i="11"/>
  <c r="D8" i="11"/>
  <c r="E8" i="11"/>
  <c r="F8" i="11"/>
  <c r="G8" i="11"/>
  <c r="H8" i="11"/>
  <c r="I8" i="11"/>
  <c r="J8" i="11"/>
  <c r="K8" i="11"/>
  <c r="L8" i="11"/>
  <c r="M8" i="11"/>
  <c r="N8" i="11"/>
  <c r="O8" i="11"/>
  <c r="C9" i="11"/>
  <c r="D9" i="11"/>
  <c r="E9" i="11"/>
  <c r="F9" i="11"/>
  <c r="G9" i="11"/>
  <c r="H9" i="11"/>
  <c r="I9" i="11"/>
  <c r="J9" i="11"/>
  <c r="K9" i="11"/>
  <c r="L9" i="11"/>
  <c r="M9" i="11"/>
  <c r="N9" i="11"/>
  <c r="O9" i="11"/>
  <c r="C10" i="11"/>
  <c r="D10" i="11"/>
  <c r="E10" i="11"/>
  <c r="F10" i="11"/>
  <c r="G10" i="11"/>
  <c r="H10" i="11"/>
  <c r="I10" i="11"/>
  <c r="J10" i="11"/>
  <c r="K10" i="11"/>
  <c r="L10" i="11"/>
  <c r="M10" i="11"/>
  <c r="N10" i="11"/>
  <c r="O10" i="11"/>
  <c r="C11" i="11"/>
  <c r="D11" i="11"/>
  <c r="E11" i="11"/>
  <c r="F11" i="11"/>
  <c r="G11" i="11"/>
  <c r="H11" i="11"/>
  <c r="I11" i="11"/>
  <c r="J11" i="11"/>
  <c r="K11" i="11"/>
  <c r="L11" i="11"/>
  <c r="M11" i="11"/>
  <c r="N11" i="11"/>
  <c r="O11" i="11"/>
  <c r="B4" i="11"/>
  <c r="B5" i="11"/>
  <c r="B6" i="11"/>
  <c r="B8" i="11"/>
  <c r="B9" i="11"/>
  <c r="B10" i="11"/>
  <c r="B11" i="11"/>
  <c r="B3" i="11"/>
  <c r="B7" i="2"/>
  <c r="A53" i="3"/>
  <c r="A52" i="3"/>
  <c r="H15" i="11" l="1"/>
  <c r="E38" i="1" l="1"/>
  <c r="B33" i="9" l="1"/>
  <c r="O15" i="11" l="1"/>
  <c r="O17" i="11" s="1"/>
  <c r="N15" i="11"/>
  <c r="N17" i="11" s="1"/>
  <c r="M15" i="11"/>
  <c r="M17" i="11" s="1"/>
  <c r="L15" i="11"/>
  <c r="L17" i="11" s="1"/>
  <c r="K15" i="11"/>
  <c r="K17" i="11" s="1"/>
  <c r="J15" i="11"/>
  <c r="J17" i="11" s="1"/>
  <c r="I15" i="11"/>
  <c r="I17" i="11" s="1"/>
  <c r="H17" i="11"/>
  <c r="G15" i="11"/>
  <c r="G17" i="11" s="1"/>
  <c r="F15" i="11"/>
  <c r="F17" i="11" s="1"/>
  <c r="E15" i="11"/>
  <c r="E17" i="11" s="1"/>
  <c r="D15" i="11"/>
  <c r="D17" i="11" s="1"/>
  <c r="C15" i="11"/>
  <c r="C17" i="11" s="1"/>
  <c r="B15" i="11"/>
  <c r="B17" i="11" s="1"/>
  <c r="D9" i="9"/>
  <c r="E11" i="3"/>
  <c r="B6" i="9"/>
  <c r="G23" i="9"/>
  <c r="G22" i="9"/>
  <c r="G21" i="9"/>
  <c r="I23" i="1"/>
  <c r="I18" i="1"/>
  <c r="E14" i="3"/>
  <c r="I22" i="1" s="1"/>
  <c r="D14" i="3"/>
  <c r="H21" i="1" s="1"/>
  <c r="H21" i="9" s="1"/>
  <c r="C14" i="3"/>
  <c r="I20" i="1" s="1"/>
  <c r="B52" i="3"/>
  <c r="B53" i="3"/>
  <c r="B54" i="3"/>
  <c r="B55" i="3"/>
  <c r="B56" i="3"/>
  <c r="B57" i="3"/>
  <c r="B58" i="3"/>
  <c r="B59" i="3"/>
  <c r="B60" i="3"/>
  <c r="B61" i="3"/>
  <c r="B62" i="3"/>
  <c r="B63" i="3"/>
  <c r="B64" i="3"/>
  <c r="B65" i="3"/>
  <c r="B66" i="3"/>
  <c r="B67" i="3"/>
  <c r="B68" i="3"/>
  <c r="I4" i="3"/>
  <c r="I3" i="3"/>
  <c r="H23" i="1"/>
  <c r="H23" i="9" s="1"/>
  <c r="H22" i="1" l="1"/>
  <c r="H22" i="9" s="1"/>
  <c r="I21" i="1"/>
  <c r="B53" i="2"/>
  <c r="H24" i="3"/>
  <c r="H15" i="3"/>
  <c r="F1" i="4"/>
  <c r="P65" i="3" l="1"/>
  <c r="Q65" i="3"/>
  <c r="R65" i="3"/>
  <c r="S65" i="3"/>
  <c r="P66" i="3"/>
  <c r="Q66" i="3"/>
  <c r="R66" i="3"/>
  <c r="S66" i="3"/>
  <c r="P67" i="3"/>
  <c r="Q67" i="3"/>
  <c r="R67" i="3"/>
  <c r="S67" i="3"/>
  <c r="P68" i="3"/>
  <c r="Q68" i="3"/>
  <c r="R68" i="3"/>
  <c r="S68" i="3"/>
  <c r="O65" i="3"/>
  <c r="O66" i="3"/>
  <c r="O67" i="3"/>
  <c r="O68" i="3"/>
  <c r="N68" i="3"/>
  <c r="N67" i="3"/>
  <c r="N66" i="3"/>
  <c r="N65" i="3"/>
  <c r="M68" i="3"/>
  <c r="M67" i="3"/>
  <c r="M66" i="3"/>
  <c r="M65" i="3"/>
  <c r="L68" i="3"/>
  <c r="L67" i="3"/>
  <c r="L66" i="3"/>
  <c r="L65" i="3"/>
  <c r="H65" i="3"/>
  <c r="I65" i="3"/>
  <c r="J65" i="3"/>
  <c r="K65" i="3"/>
  <c r="H66" i="3"/>
  <c r="I66" i="3"/>
  <c r="J66" i="3"/>
  <c r="K66" i="3"/>
  <c r="H67" i="3"/>
  <c r="I67" i="3"/>
  <c r="J67" i="3"/>
  <c r="K67" i="3"/>
  <c r="H68" i="3"/>
  <c r="I68" i="3"/>
  <c r="J68" i="3"/>
  <c r="K68" i="3"/>
  <c r="G65" i="3"/>
  <c r="G66" i="3"/>
  <c r="G67" i="3"/>
  <c r="G68" i="3"/>
  <c r="E66" i="3"/>
  <c r="F68" i="3"/>
  <c r="F67" i="3"/>
  <c r="F66" i="3"/>
  <c r="F65" i="3"/>
  <c r="E67" i="3"/>
  <c r="E68" i="3"/>
  <c r="E65" i="3"/>
  <c r="D68" i="3"/>
  <c r="D67" i="3"/>
  <c r="D66" i="3"/>
  <c r="D65" i="3"/>
  <c r="D64" i="3"/>
  <c r="C68" i="3"/>
  <c r="C67" i="3"/>
  <c r="C66" i="3"/>
  <c r="C65" i="3"/>
  <c r="D34" i="9"/>
  <c r="D33" i="9"/>
  <c r="D32" i="9"/>
  <c r="D31" i="9"/>
  <c r="D30" i="9"/>
  <c r="D29" i="9"/>
  <c r="C16" i="3"/>
  <c r="C14" i="2" l="1"/>
  <c r="C13" i="2"/>
  <c r="N63" i="3"/>
  <c r="R62" i="3"/>
  <c r="O61" i="3"/>
  <c r="Q59" i="3"/>
  <c r="O55" i="3"/>
  <c r="R54" i="3"/>
  <c r="O53" i="3"/>
  <c r="M64" i="3"/>
  <c r="M60" i="3"/>
  <c r="M59" i="3"/>
  <c r="M58" i="3"/>
  <c r="M56" i="3"/>
  <c r="M52" i="3"/>
  <c r="L64" i="3"/>
  <c r="L63" i="3"/>
  <c r="L61" i="3"/>
  <c r="L57" i="3"/>
  <c r="L56" i="3"/>
  <c r="L55" i="3"/>
  <c r="L53" i="3"/>
  <c r="J63" i="3"/>
  <c r="I59" i="3"/>
  <c r="F58" i="3"/>
  <c r="K57" i="3"/>
  <c r="J55" i="3"/>
  <c r="E64" i="3"/>
  <c r="E63" i="3"/>
  <c r="E62" i="3"/>
  <c r="E56" i="3"/>
  <c r="E55" i="3"/>
  <c r="E54" i="3"/>
  <c r="D61" i="3"/>
  <c r="D60" i="3"/>
  <c r="D59" i="3"/>
  <c r="D53" i="3"/>
  <c r="D52" i="3"/>
  <c r="C64" i="3"/>
  <c r="C58" i="3"/>
  <c r="C57" i="3"/>
  <c r="C56" i="3"/>
  <c r="S64" i="3"/>
  <c r="S60" i="3"/>
  <c r="S58" i="3"/>
  <c r="S57" i="3"/>
  <c r="S56" i="3"/>
  <c r="S55" i="3"/>
  <c r="S54" i="3"/>
  <c r="S53" i="3"/>
  <c r="S52" i="3"/>
  <c r="R64" i="3"/>
  <c r="R60" i="3"/>
  <c r="R58" i="3"/>
  <c r="R57" i="3"/>
  <c r="R56" i="3"/>
  <c r="R52" i="3"/>
  <c r="Q64" i="3"/>
  <c r="Q60" i="3"/>
  <c r="Q58" i="3"/>
  <c r="Q57" i="3"/>
  <c r="Q56" i="3"/>
  <c r="Q53" i="3"/>
  <c r="Q52" i="3"/>
  <c r="P64" i="3"/>
  <c r="P60" i="3"/>
  <c r="P58" i="3"/>
  <c r="P57" i="3"/>
  <c r="P56" i="3"/>
  <c r="P54" i="3"/>
  <c r="P53" i="3"/>
  <c r="P52" i="3"/>
  <c r="O64" i="3"/>
  <c r="O60" i="3"/>
  <c r="O59" i="3"/>
  <c r="O58" i="3"/>
  <c r="O57" i="3"/>
  <c r="O56" i="3"/>
  <c r="O52" i="3"/>
  <c r="N64" i="3"/>
  <c r="N60" i="3"/>
  <c r="N58" i="3"/>
  <c r="N57" i="3"/>
  <c r="N56" i="3"/>
  <c r="N52" i="3"/>
  <c r="M63" i="3"/>
  <c r="M62" i="3"/>
  <c r="M61" i="3"/>
  <c r="M57" i="3"/>
  <c r="M55" i="3"/>
  <c r="M54" i="3"/>
  <c r="M53" i="3"/>
  <c r="L62" i="3"/>
  <c r="L60" i="3"/>
  <c r="L59" i="3"/>
  <c r="L58" i="3"/>
  <c r="L54" i="3"/>
  <c r="L52" i="3"/>
  <c r="K64" i="3"/>
  <c r="K63" i="3"/>
  <c r="K62" i="3"/>
  <c r="K61" i="3"/>
  <c r="K60" i="3"/>
  <c r="K56" i="3"/>
  <c r="K55" i="3"/>
  <c r="K54" i="3"/>
  <c r="K53" i="3"/>
  <c r="K52" i="3"/>
  <c r="J64" i="3"/>
  <c r="J62" i="3"/>
  <c r="J61" i="3"/>
  <c r="J60" i="3"/>
  <c r="J56" i="3"/>
  <c r="J54" i="3"/>
  <c r="J53" i="3"/>
  <c r="J52" i="3"/>
  <c r="I64" i="3"/>
  <c r="I63" i="3"/>
  <c r="I62" i="3"/>
  <c r="I61" i="3"/>
  <c r="I60" i="3"/>
  <c r="I57" i="3"/>
  <c r="I56" i="3"/>
  <c r="I55" i="3"/>
  <c r="I54" i="3"/>
  <c r="I53" i="3"/>
  <c r="I52" i="3"/>
  <c r="H64" i="3"/>
  <c r="H62" i="3"/>
  <c r="H61" i="3"/>
  <c r="H60" i="3"/>
  <c r="H56" i="3"/>
  <c r="H54" i="3"/>
  <c r="H53" i="3"/>
  <c r="H52" i="3"/>
  <c r="G64" i="3"/>
  <c r="G63" i="3"/>
  <c r="G62" i="3"/>
  <c r="G61" i="3"/>
  <c r="G60" i="3"/>
  <c r="G59" i="3"/>
  <c r="G58" i="3"/>
  <c r="G57" i="3"/>
  <c r="G56" i="3"/>
  <c r="G55" i="3"/>
  <c r="G54" i="3"/>
  <c r="G53" i="3"/>
  <c r="G52" i="3"/>
  <c r="F64" i="3"/>
  <c r="F63" i="3"/>
  <c r="F62" i="3"/>
  <c r="F61" i="3"/>
  <c r="F60" i="3"/>
  <c r="F56" i="3"/>
  <c r="F55" i="3"/>
  <c r="F54" i="3"/>
  <c r="F53" i="3"/>
  <c r="F52" i="3"/>
  <c r="E61" i="3"/>
  <c r="E60" i="3"/>
  <c r="E59" i="3"/>
  <c r="E58" i="3"/>
  <c r="E57" i="3"/>
  <c r="E53" i="3"/>
  <c r="E52" i="3"/>
  <c r="D63" i="3"/>
  <c r="D62" i="3"/>
  <c r="D58" i="3"/>
  <c r="D57" i="3"/>
  <c r="D56" i="3"/>
  <c r="D55" i="3"/>
  <c r="D54" i="3"/>
  <c r="C63" i="3"/>
  <c r="C62" i="3"/>
  <c r="C61" i="3"/>
  <c r="C60" i="3"/>
  <c r="C59" i="3"/>
  <c r="C55" i="3"/>
  <c r="C54" i="3"/>
  <c r="C53" i="3"/>
  <c r="C52" i="3"/>
  <c r="A49" i="3"/>
  <c r="P62" i="3" l="1"/>
  <c r="S63" i="3"/>
  <c r="S62" i="3"/>
  <c r="H58" i="3"/>
  <c r="F57" i="3"/>
  <c r="H55" i="3"/>
  <c r="H63" i="3"/>
  <c r="I58" i="3"/>
  <c r="P55" i="3"/>
  <c r="P63" i="3"/>
  <c r="R53" i="3"/>
  <c r="R61" i="3"/>
  <c r="J59" i="3"/>
  <c r="R59" i="3"/>
  <c r="N54" i="3"/>
  <c r="N62" i="3"/>
  <c r="Q55" i="3"/>
  <c r="Q63" i="3"/>
  <c r="S61" i="3"/>
  <c r="H59" i="3"/>
  <c r="J57" i="3"/>
  <c r="N53" i="3"/>
  <c r="N61" i="3"/>
  <c r="P59" i="3"/>
  <c r="Q54" i="3"/>
  <c r="Q62" i="3"/>
  <c r="N55" i="3"/>
  <c r="O63" i="3"/>
  <c r="F59" i="3"/>
  <c r="H57" i="3"/>
  <c r="K58" i="3"/>
  <c r="N59" i="3"/>
  <c r="O54" i="3"/>
  <c r="O62" i="3"/>
  <c r="R55" i="3"/>
  <c r="R63" i="3"/>
  <c r="P61" i="3"/>
  <c r="J58" i="3"/>
  <c r="K59" i="3"/>
  <c r="Q61" i="3"/>
  <c r="S59" i="3"/>
  <c r="O2" i="6"/>
  <c r="P2" i="6" s="1"/>
  <c r="Q2" i="6" s="1"/>
  <c r="R2" i="6" s="1"/>
  <c r="S2" i="6" s="1"/>
  <c r="S4" i="6" s="1"/>
  <c r="G2" i="6"/>
  <c r="H2" i="6" s="1"/>
  <c r="I2" i="6" s="1"/>
  <c r="J2" i="6" s="1"/>
  <c r="K2" i="6" s="1"/>
  <c r="K4" i="6" s="1"/>
  <c r="A9" i="9"/>
  <c r="B9" i="9"/>
  <c r="E8" i="3"/>
  <c r="L2" i="6" l="1"/>
  <c r="T2" i="6"/>
  <c r="A25" i="9"/>
  <c r="E25" i="9"/>
  <c r="H25" i="9"/>
  <c r="A26" i="9"/>
  <c r="J1" i="9"/>
  <c r="C24" i="2"/>
  <c r="A25" i="2"/>
  <c r="A27" i="2"/>
  <c r="A12" i="9"/>
  <c r="B12" i="9"/>
  <c r="B13" i="1"/>
  <c r="C10" i="3" s="1"/>
  <c r="E44" i="9"/>
  <c r="I39" i="9"/>
  <c r="F29" i="9"/>
  <c r="F30" i="9"/>
  <c r="F31" i="9"/>
  <c r="F32" i="9"/>
  <c r="F33" i="9"/>
  <c r="F34" i="9"/>
  <c r="E36" i="9"/>
  <c r="F36" i="9"/>
  <c r="E37" i="9"/>
  <c r="B29" i="9"/>
  <c r="C29" i="9"/>
  <c r="B30" i="9"/>
  <c r="C30" i="9"/>
  <c r="B31" i="9"/>
  <c r="C31" i="9"/>
  <c r="B32" i="9"/>
  <c r="C32" i="9"/>
  <c r="C33" i="9"/>
  <c r="B34" i="9"/>
  <c r="C34" i="9"/>
  <c r="B35" i="9"/>
  <c r="E24" i="9"/>
  <c r="G18" i="9"/>
  <c r="G19" i="9"/>
  <c r="G20" i="9"/>
  <c r="G24" i="9"/>
  <c r="H24" i="9"/>
  <c r="A4" i="9"/>
  <c r="B4" i="9"/>
  <c r="A6" i="9"/>
  <c r="A7" i="9"/>
  <c r="B7" i="9"/>
  <c r="A8" i="9"/>
  <c r="B8" i="9"/>
  <c r="A10" i="9"/>
  <c r="A11" i="9"/>
  <c r="B11" i="9"/>
  <c r="A13" i="9"/>
  <c r="A14" i="9"/>
  <c r="J44" i="1"/>
  <c r="J44" i="9" s="1"/>
  <c r="C35" i="1"/>
  <c r="C35" i="9" s="1"/>
  <c r="G20" i="3"/>
  <c r="F20" i="3"/>
  <c r="F21" i="3" s="1"/>
  <c r="E20" i="3"/>
  <c r="E21" i="3" s="1"/>
  <c r="E22" i="3" s="1"/>
  <c r="E23" i="3" s="1"/>
  <c r="D20" i="3"/>
  <c r="D21" i="3" s="1"/>
  <c r="C20" i="3"/>
  <c r="C21" i="3" s="1"/>
  <c r="B20" i="3"/>
  <c r="G19" i="3"/>
  <c r="F19" i="3"/>
  <c r="E19" i="3"/>
  <c r="D19" i="3"/>
  <c r="C19" i="3"/>
  <c r="B19" i="3"/>
  <c r="I35" i="1"/>
  <c r="B10" i="1"/>
  <c r="C35" i="2"/>
  <c r="R4" i="6"/>
  <c r="Q4" i="6"/>
  <c r="P4" i="6"/>
  <c r="O4" i="6"/>
  <c r="J4" i="6"/>
  <c r="I4" i="6"/>
  <c r="H4" i="6"/>
  <c r="G4" i="6"/>
  <c r="F4" i="6"/>
  <c r="E4" i="6"/>
  <c r="C32" i="2"/>
  <c r="F1" i="3"/>
  <c r="C9" i="3"/>
  <c r="C15" i="3"/>
  <c r="A24" i="3"/>
  <c r="B24" i="3"/>
  <c r="C24" i="3"/>
  <c r="D24" i="3"/>
  <c r="E24" i="3"/>
  <c r="F24" i="3"/>
  <c r="G24" i="3"/>
  <c r="H37" i="3"/>
  <c r="B4" i="2"/>
  <c r="B5" i="2" s="1"/>
  <c r="B6" i="2" s="1"/>
  <c r="A26" i="2"/>
  <c r="B52" i="2"/>
  <c r="F38" i="1" s="1"/>
  <c r="F38" i="9" s="1"/>
  <c r="I4" i="1"/>
  <c r="I4" i="9" s="1"/>
  <c r="G26" i="1"/>
  <c r="G26" i="9" s="1"/>
  <c r="H21" i="3"/>
  <c r="H23" i="3" s="1"/>
  <c r="F40" i="1"/>
  <c r="H20" i="1" l="1"/>
  <c r="B27" i="3"/>
  <c r="H27" i="3"/>
  <c r="H29" i="3" s="1"/>
  <c r="F40" i="9"/>
  <c r="G21" i="3"/>
  <c r="G22" i="3" s="1"/>
  <c r="G23" i="3" s="1"/>
  <c r="F22" i="3"/>
  <c r="F23" i="3" s="1"/>
  <c r="D22" i="3"/>
  <c r="D23" i="3" s="1"/>
  <c r="C22" i="3"/>
  <c r="C23" i="3" s="1"/>
  <c r="E30" i="1" s="1"/>
  <c r="E30" i="9" s="1"/>
  <c r="B21" i="3"/>
  <c r="H18" i="9"/>
  <c r="S6" i="6"/>
  <c r="R6" i="6"/>
  <c r="G6" i="6"/>
  <c r="I6" i="6"/>
  <c r="H6" i="6"/>
  <c r="Q6" i="6"/>
  <c r="P6" i="6"/>
  <c r="O6" i="6"/>
  <c r="M2" i="6"/>
  <c r="L4" i="6"/>
  <c r="J6" i="6"/>
  <c r="K6" i="6"/>
  <c r="U2" i="6"/>
  <c r="T4" i="6"/>
  <c r="G11" i="3"/>
  <c r="B13" i="9"/>
  <c r="C8" i="3"/>
  <c r="C11" i="3"/>
  <c r="G10" i="3"/>
  <c r="E38" i="9"/>
  <c r="I35" i="9"/>
  <c r="B10" i="9"/>
  <c r="J35" i="1"/>
  <c r="J35" i="9" s="1"/>
  <c r="C27" i="3"/>
  <c r="C29" i="3" s="1"/>
  <c r="F27" i="3"/>
  <c r="F29" i="3" s="1"/>
  <c r="G27" i="3"/>
  <c r="G30" i="3" s="1"/>
  <c r="E27" i="3"/>
  <c r="E29" i="3" s="1"/>
  <c r="D27" i="3"/>
  <c r="D30" i="3" s="1"/>
  <c r="G8" i="3"/>
  <c r="H25" i="3"/>
  <c r="H32" i="3" s="1"/>
  <c r="I24" i="3" l="1"/>
  <c r="B22" i="3"/>
  <c r="B23" i="3" s="1"/>
  <c r="I21" i="3"/>
  <c r="H19" i="9"/>
  <c r="C49" i="2"/>
  <c r="H26" i="1"/>
  <c r="H26" i="9" s="1"/>
  <c r="T6" i="6"/>
  <c r="N2" i="6"/>
  <c r="N4" i="6" s="1"/>
  <c r="M4" i="6"/>
  <c r="L6" i="6"/>
  <c r="U4" i="6"/>
  <c r="V2" i="6"/>
  <c r="V4" i="6" s="1"/>
  <c r="B14" i="1"/>
  <c r="B14" i="9" s="1"/>
  <c r="G25" i="3"/>
  <c r="E34" i="1"/>
  <c r="E34" i="9" s="1"/>
  <c r="F25" i="3"/>
  <c r="E33" i="1"/>
  <c r="E33" i="9" s="1"/>
  <c r="E25" i="3"/>
  <c r="E32" i="1"/>
  <c r="E32" i="9" s="1"/>
  <c r="C25" i="3"/>
  <c r="D25" i="3"/>
  <c r="E31" i="1"/>
  <c r="E31" i="9" s="1"/>
  <c r="H20" i="9"/>
  <c r="F30" i="3"/>
  <c r="G29" i="3"/>
  <c r="H30" i="3"/>
  <c r="E30" i="3"/>
  <c r="D29" i="3"/>
  <c r="C30" i="3"/>
  <c r="H39" i="3"/>
  <c r="G36" i="1"/>
  <c r="G36" i="9" s="1"/>
  <c r="E32" i="3" l="1"/>
  <c r="E35" i="3" s="1"/>
  <c r="C32" i="3"/>
  <c r="C40" i="3" s="1"/>
  <c r="G32" i="3"/>
  <c r="G40" i="3" s="1"/>
  <c r="D32" i="3"/>
  <c r="D40" i="3" s="1"/>
  <c r="F32" i="3"/>
  <c r="F40" i="3" s="1"/>
  <c r="E29" i="1"/>
  <c r="B25" i="3"/>
  <c r="B32" i="3" s="1"/>
  <c r="I23" i="3"/>
  <c r="G34" i="1"/>
  <c r="G34" i="9" s="1"/>
  <c r="G30" i="1"/>
  <c r="G30" i="9" s="1"/>
  <c r="U6" i="6"/>
  <c r="V6" i="6"/>
  <c r="N6" i="6"/>
  <c r="M6" i="6"/>
  <c r="G32" i="1"/>
  <c r="G32" i="9" s="1"/>
  <c r="G31" i="1"/>
  <c r="G31" i="9" s="1"/>
  <c r="G33" i="1"/>
  <c r="G33" i="9" s="1"/>
  <c r="H42" i="3"/>
  <c r="H36" i="1"/>
  <c r="H36" i="9" s="1"/>
  <c r="F50" i="1"/>
  <c r="J49" i="1" l="1"/>
  <c r="J50" i="1" s="1"/>
  <c r="J48" i="1"/>
  <c r="E40" i="1"/>
  <c r="E40" i="9" s="1"/>
  <c r="E40" i="3"/>
  <c r="D34" i="3"/>
  <c r="E37" i="3"/>
  <c r="E34" i="3"/>
  <c r="E36" i="3" s="1"/>
  <c r="E38" i="3" s="1"/>
  <c r="E29" i="9"/>
  <c r="G29" i="1"/>
  <c r="G40" i="1" s="1"/>
  <c r="A46" i="3" s="1"/>
  <c r="I25" i="3"/>
  <c r="I32" i="3" s="1"/>
  <c r="F37" i="3"/>
  <c r="F38" i="3" s="1"/>
  <c r="F39" i="3" s="1"/>
  <c r="F34" i="3"/>
  <c r="F36" i="3" s="1"/>
  <c r="F35" i="3"/>
  <c r="D36" i="3"/>
  <c r="D35" i="3"/>
  <c r="D37" i="3"/>
  <c r="I27" i="3"/>
  <c r="G35" i="3"/>
  <c r="G37" i="3"/>
  <c r="C34" i="3"/>
  <c r="C36" i="3" s="1"/>
  <c r="C35" i="3"/>
  <c r="C37" i="3"/>
  <c r="G34" i="3"/>
  <c r="G36" i="3" s="1"/>
  <c r="G38" i="3" s="1"/>
  <c r="F50" i="9"/>
  <c r="H43" i="3"/>
  <c r="E39" i="3"/>
  <c r="I36" i="1"/>
  <c r="I36" i="9" s="1"/>
  <c r="C19" i="2" l="1"/>
  <c r="E41" i="3"/>
  <c r="H32" i="1" s="1"/>
  <c r="H32" i="9" s="1"/>
  <c r="B37" i="3"/>
  <c r="B40" i="3"/>
  <c r="I40" i="3" s="1"/>
  <c r="B35" i="3"/>
  <c r="I35" i="3" s="1"/>
  <c r="B34" i="3"/>
  <c r="B36" i="3" s="1"/>
  <c r="G29" i="9"/>
  <c r="G39" i="3"/>
  <c r="G41" i="3" s="1"/>
  <c r="H34" i="1" s="1"/>
  <c r="H34" i="9" s="1"/>
  <c r="F41" i="3"/>
  <c r="H33" i="1" s="1"/>
  <c r="H33" i="9" s="1"/>
  <c r="B30" i="3"/>
  <c r="I30" i="3" s="1"/>
  <c r="B29" i="3"/>
  <c r="I29" i="3" s="1"/>
  <c r="D38" i="3"/>
  <c r="D39" i="3" s="1"/>
  <c r="D41" i="3" s="1"/>
  <c r="D42" i="3" s="1"/>
  <c r="G40" i="9"/>
  <c r="J36" i="1"/>
  <c r="J36" i="9" s="1"/>
  <c r="C38" i="3"/>
  <c r="C39" i="3" s="1"/>
  <c r="C41" i="3" s="1"/>
  <c r="E42" i="3" l="1"/>
  <c r="E43" i="3" s="1"/>
  <c r="B38" i="3"/>
  <c r="I38" i="3" s="1"/>
  <c r="I36" i="3"/>
  <c r="I34" i="3"/>
  <c r="G42" i="3"/>
  <c r="I34" i="1" s="1"/>
  <c r="I34" i="9" s="1"/>
  <c r="F42" i="3"/>
  <c r="F43" i="3" s="1"/>
  <c r="J33" i="1" s="1"/>
  <c r="J33" i="9" s="1"/>
  <c r="H31" i="1"/>
  <c r="H31" i="9" s="1"/>
  <c r="D43" i="3"/>
  <c r="I31" i="1"/>
  <c r="I31" i="9" s="1"/>
  <c r="C42" i="3"/>
  <c r="H30" i="1"/>
  <c r="I32" i="1" l="1"/>
  <c r="I32" i="9" s="1"/>
  <c r="B39" i="3"/>
  <c r="I39" i="3" s="1"/>
  <c r="G43" i="3"/>
  <c r="J34" i="1" s="1"/>
  <c r="J34" i="9" s="1"/>
  <c r="I33" i="1"/>
  <c r="I33" i="9" s="1"/>
  <c r="H30" i="9"/>
  <c r="J31" i="1"/>
  <c r="J31" i="9" s="1"/>
  <c r="C43" i="3"/>
  <c r="J32" i="1"/>
  <c r="J32" i="9" s="1"/>
  <c r="I30" i="1"/>
  <c r="B41" i="3" l="1"/>
  <c r="I41" i="3" s="1"/>
  <c r="I30" i="9"/>
  <c r="J30" i="1"/>
  <c r="J30" i="9" s="1"/>
  <c r="B42" i="3" l="1"/>
  <c r="B43" i="3" s="1"/>
  <c r="J29" i="1" s="1"/>
  <c r="J29" i="9" s="1"/>
  <c r="H29" i="1"/>
  <c r="H29" i="9" s="1"/>
  <c r="I29" i="1" l="1"/>
  <c r="I40" i="1" s="1"/>
  <c r="I42" i="3"/>
  <c r="I43" i="3" s="1"/>
  <c r="H40" i="1"/>
  <c r="H40" i="9" s="1"/>
  <c r="I29" i="9" l="1"/>
  <c r="F48" i="1"/>
  <c r="F48" i="9" s="1"/>
  <c r="J40" i="1"/>
  <c r="J40" i="9" s="1"/>
  <c r="I40" i="9"/>
  <c r="C51" i="2"/>
  <c r="G47" i="9" s="1"/>
  <c r="G47" i="1" l="1"/>
  <c r="F52" i="1"/>
  <c r="F52" i="9" l="1"/>
  <c r="C42" i="2"/>
  <c r="G9" i="3" l="1"/>
  <c r="A52" i="9" s="1"/>
  <c r="A28" i="2"/>
  <c r="A52" i="1" l="1"/>
  <c r="E43" i="1"/>
  <c r="E43" i="9" s="1"/>
  <c r="E45" i="1"/>
  <c r="J45" i="1" s="1"/>
  <c r="E45" i="9" l="1"/>
  <c r="J45" i="9"/>
  <c r="D19" i="2"/>
  <c r="C36" i="2"/>
  <c r="C37" i="2" s="1"/>
  <c r="C38" i="2" s="1"/>
  <c r="C39" i="2" s="1"/>
  <c r="C41" i="2" s="1"/>
  <c r="G48" i="1" s="1"/>
  <c r="G48" i="9" s="1"/>
  <c r="F49" i="1"/>
  <c r="F49" i="9" s="1"/>
  <c r="C45" i="2"/>
  <c r="F51" i="1" s="1"/>
  <c r="F51" i="9" s="1"/>
  <c r="J43" i="1"/>
  <c r="J43" i="9" s="1"/>
  <c r="C29" i="2" l="1"/>
  <c r="C33" i="2" s="1"/>
  <c r="C46" i="2"/>
  <c r="C47" i="2" s="1"/>
  <c r="F53" i="1"/>
  <c r="F53" i="9" s="1"/>
  <c r="F54" i="1" l="1"/>
  <c r="F54" i="9" s="1"/>
  <c r="C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9"/>
            <color indexed="81"/>
            <rFont val="Tahoma"/>
            <family val="2"/>
          </rPr>
          <t>If number of dependants &gt;4, perform full living allowance review and refer to the lending team</t>
        </r>
      </text>
    </comment>
    <comment ref="B9" authorId="0" shapeId="0" xr:uid="{00000000-0006-0000-0100-000003000000}">
      <text>
        <r>
          <rPr>
            <sz val="8"/>
            <color indexed="81"/>
            <rFont val="Tahoma"/>
            <family val="2"/>
          </rPr>
          <t>Enter the proposed limit for the new credit card (min $1000).</t>
        </r>
      </text>
    </comment>
    <comment ref="D9" authorId="1" shapeId="0" xr:uid="{00000000-0006-0000-0100-000004000000}">
      <text>
        <r>
          <rPr>
            <sz val="9"/>
            <color indexed="81"/>
            <rFont val="Tahoma"/>
            <family val="2"/>
          </rPr>
          <t>Choose if this loan is for a 
Community First / EasyStreet 
or an Amigo Credit Card</t>
        </r>
      </text>
    </comment>
    <comment ref="B11" authorId="1" shapeId="0" xr:uid="{00000000-0006-0000-0100-000005000000}">
      <text>
        <r>
          <rPr>
            <sz val="8"/>
            <color indexed="81"/>
            <rFont val="Tahoma"/>
            <family val="2"/>
          </rPr>
          <t>Use the actual rate of the product.</t>
        </r>
      </text>
    </comment>
    <comment ref="B12" authorId="0" shapeId="0" xr:uid="{00000000-0006-0000-0100-000006000000}">
      <text>
        <r>
          <rPr>
            <sz val="8"/>
            <color indexed="81"/>
            <rFont val="Tahoma"/>
            <family val="2"/>
          </rPr>
          <t>Enter the term in months and the calculator will convert to years for the calculation.</t>
        </r>
      </text>
    </comment>
    <comment ref="G20" authorId="0" shapeId="0" xr:uid="{00000000-0006-0000-0100-000007000000}">
      <text>
        <r>
          <rPr>
            <sz val="8"/>
            <color indexed="81"/>
            <rFont val="Tahoma"/>
            <family val="2"/>
          </rPr>
          <t>Enter total limits for all credit cards (not being paid out by this facility).</t>
        </r>
      </text>
    </comment>
    <comment ref="G21" authorId="0" shapeId="0" xr:uid="{00000000-0006-0000-0100-000008000000}">
      <text>
        <r>
          <rPr>
            <sz val="8"/>
            <color indexed="81"/>
            <rFont val="Tahoma"/>
            <family val="2"/>
          </rPr>
          <t>Enter total limits for all credit cards (not being paid out by this facility).</t>
        </r>
      </text>
    </comment>
    <comment ref="G22" authorId="0" shapeId="0" xr:uid="{00000000-0006-0000-0100-000009000000}">
      <text>
        <r>
          <rPr>
            <sz val="8"/>
            <color indexed="81"/>
            <rFont val="Tahoma"/>
            <family val="2"/>
          </rPr>
          <t>Enter total limits for all credit cards (not being paid out by this facility).</t>
        </r>
      </text>
    </comment>
    <comment ref="G23" authorId="0" shapeId="0" xr:uid="{00000000-0006-0000-0100-00000A000000}">
      <text>
        <r>
          <rPr>
            <sz val="8"/>
            <color indexed="81"/>
            <rFont val="Tahoma"/>
            <family val="2"/>
          </rPr>
          <t>Enter total limits for secured lines of credit only. Repay @ 1% of limits.</t>
        </r>
      </text>
    </comment>
    <comment ref="H25" authorId="0" shapeId="0" xr:uid="{00000000-0006-0000-0100-00000B000000}">
      <text>
        <r>
          <rPr>
            <sz val="8"/>
            <color indexed="81"/>
            <rFont val="Tahoma"/>
            <family val="2"/>
          </rPr>
          <t>Enter monthly rental payments here. If weekly / fortnightly multiply by 52 or 26 and divide by 12 to get monthly payment.</t>
        </r>
      </text>
    </comment>
    <comment ref="B29" authorId="0" shapeId="0" xr:uid="{00000000-0006-0000-0100-00000C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29" authorId="0" shapeId="0" xr:uid="{00000000-0006-0000-0100-00000D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29" authorId="0" shapeId="0" xr:uid="{00000000-0006-0000-0100-00000E000000}">
      <text>
        <r>
          <rPr>
            <sz val="8"/>
            <color indexed="81"/>
            <rFont val="Tahoma"/>
            <family val="2"/>
          </rPr>
          <t>Annual rental income before tax. 
80% is used for the calculation.
It is included in the Income Tax calculation.</t>
        </r>
      </text>
    </comment>
    <comment ref="B35" authorId="0" shapeId="0" xr:uid="{00000000-0006-0000-0100-00000F000000}">
      <text>
        <r>
          <rPr>
            <sz val="8"/>
            <color indexed="81"/>
            <rFont val="Tahoma"/>
            <family val="2"/>
          </rPr>
          <t>Only Centrelink payments defined as acceptable in the policy should be included. If in doubt please refer to the lending team.</t>
        </r>
      </text>
    </comment>
    <comment ref="E36" authorId="0" shapeId="0" xr:uid="{00000000-0006-0000-0100-000010000000}">
      <text>
        <r>
          <rPr>
            <sz val="8"/>
            <color indexed="81"/>
            <rFont val="Tahoma"/>
            <family val="2"/>
          </rPr>
          <t>Enter current and previous years (below) NPBT. Last two years will be averaged for purposes of income calculation.</t>
        </r>
      </text>
    </comment>
    <comment ref="F36" authorId="0" shapeId="0" xr:uid="{00000000-0006-0000-0100-000011000000}">
      <text>
        <r>
          <rPr>
            <sz val="8"/>
            <color indexed="81"/>
            <rFont val="Tahoma"/>
            <family val="2"/>
          </rPr>
          <t>Annual rental income before tax. 60% is used for the calculation.</t>
        </r>
      </text>
    </comment>
    <comment ref="I39" authorId="0" shapeId="0" xr:uid="{00000000-0006-0000-0100-000012000000}">
      <text>
        <r>
          <rPr>
            <sz val="8"/>
            <color indexed="81"/>
            <rFont val="Tahoma"/>
            <family val="2"/>
          </rPr>
          <t>Depreciation &amp; amortisation only.</t>
        </r>
      </text>
    </comment>
    <comment ref="E44" authorId="0" shapeId="0" xr:uid="{00000000-0006-0000-0100-000013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32"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<sst xmlns="http://schemas.openxmlformats.org/spreadsheetml/2006/main" count="458" uniqueCount="333">
  <si>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</si>
  <si>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</si>
  <si>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</si>
  <si>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</si>
  <si>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</si>
  <si>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</si>
  <si>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</si>
  <si>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</si>
  <si>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</si>
  <si>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</si>
  <si>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</si>
  <si>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</si>
  <si>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</si>
  <si>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</si>
  <si>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</si>
  <si>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</si>
  <si>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</si>
  <si>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</si>
  <si>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</si>
  <si>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</si>
  <si>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</si>
  <si>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</si>
  <si>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</si>
  <si>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</si>
  <si>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</si>
  <si>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</si>
  <si>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</si>
  <si>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</si>
  <si>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</si>
  <si>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</si>
  <si>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</si>
  <si>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</si>
  <si>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</si>
  <si>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</si>
  <si>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</si>
  <si>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</si>
  <si>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</si>
  <si>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</si>
  <si>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</si>
  <si>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</si>
  <si>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</si>
  <si>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</si>
  <si>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</si>
  <si>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</si>
  <si>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</si>
  <si>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</si>
  <si>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</si>
  <si>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</si>
  <si>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</si>
  <si>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</si>
  <si>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</si>
  <si>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</si>
  <si>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</si>
  <si>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</si>
  <si>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</si>
  <si>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</si>
  <si>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</si>
  <si>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</si>
  <si>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</si>
  <si>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</si>
  <si>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</si>
  <si>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</si>
  <si>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</si>
  <si>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</si>
  <si>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</si>
  <si>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</si>
  <si>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</si>
  <si>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</si>
  <si>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</si>
  <si>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</si>
  <si>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</si>
  <si>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</si>
  <si>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</si>
  <si>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</si>
  <si>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</si>
  <si>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</si>
  <si>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</si>
  <si>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</si>
  <si>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</si>
  <si>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</si>
  <si>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</si>
  <si>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</si>
  <si>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</si>
  <si>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</si>
  <si>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</si>
  <si>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greater than $0 to be acceptable.  If less than $0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</si>
  <si>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</si>
  <si>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</si>
  <si>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</si>
  <si>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</si>
  <si>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</si>
  <si>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</si>
  <si>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</si>
  <si>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</si>
  <si>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</si>
  <si>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</si>
  <si>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V13.18 - Aug 25</t>
  </si>
  <si>
    <t>Personal Loan Servicing Calculator</t>
  </si>
  <si>
    <t>Couple 2 Child</t>
  </si>
  <si>
    <t>Help in using this Calculator is available on the previous page.</t>
  </si>
  <si>
    <t>Credit Card - Limit</t>
  </si>
  <si>
    <t>CFCU / Easystreet</t>
  </si>
  <si>
    <t>Total Loan Amount</t>
  </si>
  <si>
    <t>Use the Tab Key to move between fields on this page.</t>
  </si>
  <si>
    <t>Loan Interest Rate (p.a.)</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</si>
  <si>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</si>
  <si>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</si>
  <si>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</si>
  <si>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</si>
  <si>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</si>
  <si>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</si>
  <si>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</si>
  <si>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</si>
  <si>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</si>
  <si>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</si>
  <si>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</si>
  <si>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</si>
  <si>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</si>
  <si>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</si>
  <si>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</si>
  <si>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</si>
  <si>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</si>
  <si>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</si>
  <si>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</si>
  <si>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</si>
  <si>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</si>
  <si>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</si>
  <si>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Annually</t>
  </si>
  <si>
    <t>Applicant 2</t>
  </si>
  <si>
    <t>Applicant 3</t>
  </si>
  <si>
    <t>Applicant 4</t>
  </si>
  <si>
    <t>Applicant 5</t>
  </si>
  <si>
    <t>Applicant 6</t>
  </si>
  <si>
    <r>
      <rPr>
        <b/>
        <sz val="10"/>
        <rFont val="Arial"/>
        <family val="2"/>
      </rPr>
      <t>Fortnightly Centrelink Payments (Refer to Policy for acceptable forms)</t>
    </r>
  </si>
  <si>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</si>
  <si>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</si>
  <si>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</si>
  <si>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</si>
  <si>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</si>
  <si>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</si>
  <si>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</si>
  <si>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</si>
  <si>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</si>
  <si>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</si>
  <si>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</si>
  <si>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</si>
  <si>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</si>
  <si>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</si>
  <si>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</si>
  <si>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</si>
  <si>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</si>
  <si>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</si>
  <si>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</si>
  <si>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t>Credit Card payments are based on</t>
  </si>
  <si>
    <t>3.2%</t>
  </si>
  <si>
    <t>3.5%</t>
  </si>
  <si>
    <t>3.75%</t>
  </si>
  <si>
    <t>of Credit Limit per month</t>
  </si>
  <si>
    <t>Company/Business non-cash addbacks (eg: depreciation)</t>
  </si>
  <si>
    <t>Community First Loan Servicing Calculator - Calculations Reference</t>
  </si>
  <si>
    <t>Payment Frequency</t>
  </si>
  <si>
    <t>Annual Multiple</t>
  </si>
  <si>
    <t>Servicing Test Interest Rate per annum</t>
  </si>
  <si>
    <t>Weekly</t>
  </si>
  <si>
    <t>Standard Variable Rate (SVR)</t>
  </si>
  <si>
    <t>Fortnightly</t>
  </si>
  <si>
    <t>Buffer</t>
  </si>
  <si>
    <t>Monthly</t>
  </si>
  <si>
    <t>Quarterly</t>
  </si>
  <si>
    <t>Loan Amount Payment Calculations</t>
  </si>
  <si>
    <t>Proposed Loan Details</t>
  </si>
  <si>
    <t>Proposed CCard Details</t>
  </si>
  <si>
    <t>Applicable ARA Interest Rate</t>
  </si>
  <si>
    <t>Payment Calculations results are displayed here for the proposed loan at both the proposed loan interest rate and the ??? Test Rate. The higher rate will be used in the NSR calculation.</t>
  </si>
  <si>
    <t>Limit</t>
  </si>
  <si>
    <t>Interest Rate</t>
  </si>
  <si>
    <t>Monthly Repayment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</si>
  <si>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</si>
  <si>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</si>
  <si>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</si>
  <si>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</si>
  <si>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</si>
  <si>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</si>
  <si>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</si>
  <si>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</si>
  <si>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</si>
  <si>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</si>
  <si>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</si>
  <si>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</si>
  <si>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</si>
  <si>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</si>
  <si>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</si>
  <si>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</si>
  <si>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</si>
  <si>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</si>
  <si>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</si>
  <si>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</si>
  <si>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</si>
  <si>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</si>
  <si>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</si>
  <si>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</si>
  <si>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</si>
  <si>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</si>
  <si>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</si>
  <si>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</si>
  <si>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</si>
  <si>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</si>
  <si>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</si>
  <si>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</si>
  <si>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1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</si>
  <si>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</si>
  <si>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</si>
  <si>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</si>
  <si>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</si>
  <si>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</si>
  <si>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</si>
  <si>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</si>
  <si>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</si>
  <si>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</si>
  <si>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</si>
  <si>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</si>
  <si>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</si>
  <si>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</si>
  <si>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</si>
  <si>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2018/19</t>
  </si>
  <si>
    <t>Gross Annual Salary</t>
  </si>
  <si>
    <t>Company Tax Rate</t>
  </si>
  <si>
    <t>Extra Annual Overtime Income - Haircut</t>
  </si>
  <si>
    <t>Minimum APRA Rate for Other Mortgage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</si>
  <si>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</si>
  <si>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</si>
  <si>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</si>
  <si>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</si>
  <si>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</si>
  <si>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</si>
  <si>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</si>
  <si>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</si>
  <si>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</si>
  <si>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</si>
  <si>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</si>
  <si>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</si>
  <si>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</si>
  <si>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</si>
  <si>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</si>
  <si>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</si>
  <si>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</si>
  <si>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</si>
  <si>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</si>
  <si>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</si>
  <si>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</si>
  <si>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</si>
  <si>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</si>
  <si>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</si>
  <si>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</si>
  <si>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</si>
  <si>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</si>
  <si>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</si>
  <si>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</si>
  <si>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</si>
  <si>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</si>
  <si>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</si>
  <si>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</si>
  <si>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</si>
  <si>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</si>
  <si>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</si>
  <si>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</si>
  <si>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20% above previous year</t>
  </si>
  <si>
    <t>HEM DATA</t>
  </si>
  <si>
    <t>Q2 2025</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</si>
  <si>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</si>
  <si>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</si>
  <si>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</si>
  <si>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</si>
  <si>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</si>
  <si>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</si>
  <si>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</si>
  <si>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</si>
  <si>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</si>
  <si>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</si>
  <si>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</si>
  <si>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</si>
  <si>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</si>
  <si>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scheme val="minor"/>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</si>
  <si>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</si>
  <si>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</si>
  <si>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</si>
  <si>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</si>
  <si>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</si>
  <si>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</si>
  <si>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</si>
  <si>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</si>
  <si>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</si>
  <si>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</si>
  <si>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</si>
  <si>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</si>
  <si>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</si>
  <si>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</si>
  <si>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</si>
  <si>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</si>
  <si>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Copy from Mortgage Loan Calaculator, hide Other Mortgage Loan Terms &amp; unfreeze Monthly Payments.
ARA limit is $0 in the Help screen.
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</si>
  <si>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</si>
  <si>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</si>
  <si>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</si>
  <si>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</si>
  <si>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</si>
  <si>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</si>
  <si>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 Add option to select if loan is for a CFCU or Amigo Credit Card.</t>
  </si>
  <si>
    <t>Update to latest Q4 2018 HEM Monthly Living Expenses table.</t>
  </si>
  <si>
    <t>Update to latest Q1 2019 HEM Monthly Living Expenses table.</t>
  </si>
  <si>
    <t>Update to affordability buffer from 2.25% to 2.5% plus HEM Q2 2019</t>
  </si>
  <si>
    <t xml:space="preserve">HEM Q4 2019 </t>
  </si>
  <si>
    <t>HEM Q1 2020</t>
  </si>
  <si>
    <t>HEM Q2 &amp; New tax rates</t>
  </si>
  <si>
    <t>HEM Q4 2020</t>
  </si>
  <si>
    <t>HEM Q1 2021</t>
  </si>
  <si>
    <t>HEM Q2 2021</t>
  </si>
  <si>
    <t>DTI and LTI Update</t>
  </si>
  <si>
    <t>DTI and LTI update to include non taxable income</t>
  </si>
  <si>
    <t>HEM Q1 2023 - updated to 13.14 version to match Mortgage Cal</t>
  </si>
  <si>
    <t>Remove rental income from calcuating HEM figures.</t>
  </si>
  <si>
    <t>HEM Q4 2023 updated to ver 13.15</t>
  </si>
  <si>
    <t xml:space="preserve">HEM Q1 2024 and 24/25 Tax tables. </t>
  </si>
  <si>
    <t>HEM Q4 2024</t>
  </si>
  <si>
    <t>HEM Q2 2025</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</si>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</sst>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quot;$&quot;#,##0;[Red]\-&quot;$&quot;#,##0;"/>
    <numFmt numFmtId="176" formatCode="#,##0.00_ ;[Red]\-#,##0.00\ "/>
  </numFmts>
  <fonts count="32">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b/>
      <sz val="11"/>
      <color rgb="FF000000"/>
      <name val="Calibri"/>
      <family val="2"/>
    </font>
    <font>
      <sz val="11"/>
      <color rgb="FF000000"/>
      <name val="Calibri"/>
      <family val="2"/>
    </font>
    <font>
      <u/>
      <sz val="10"/>
      <color theme="10"/>
      <name val="Arial"/>
      <family val="2"/>
    </font>
    <font>
      <sz val="8"/>
      <color indexed="81"/>
      <name val="Tahoma"/>
      <family val="2"/>
    </font>
    <font>
      <sz val="9"/>
      <name val="Arial"/>
      <family val="2"/>
    </font>
    <font>
      <b/>
      <sz val="11"/>
      <color theme="0"/>
      <name val="Calibri"/>
      <family val="2"/>
      <scheme val="minor"/>
    </font>
    <font>
      <sz val="11"/>
      <color theme="0"/>
      <name val="Calibri"/>
      <family val="2"/>
      <scheme val="minor"/>
    </font>
    <font>
      <sz val="10"/>
      <name val="Calibri"/>
      <family val="2"/>
      <scheme val="minor"/>
    </font>
    <font>
      <b/>
      <sz val="10"/>
      <name val="Calibri"/>
      <family val="2"/>
      <scheme val="minor"/>
    </font>
    <font>
      <b/>
      <sz val="22"/>
      <color theme="3"/>
      <name val="Calibri"/>
      <family val="2"/>
      <scheme val="minor"/>
    </font>
    <font>
      <b/>
      <sz val="11"/>
      <color theme="3"/>
      <name val="Times New Roman"/>
      <family val="1"/>
    </font>
    <font>
      <sz val="11"/>
      <color theme="3"/>
      <name val="Calibri"/>
      <family val="2"/>
      <scheme val="minor"/>
    </font>
    <font>
      <b/>
      <sz val="20"/>
      <color theme="3"/>
      <name val="Calibri"/>
      <family val="2"/>
      <scheme val="minor"/>
    </font>
    <font>
      <sz val="9"/>
      <color indexed="81"/>
      <name val="Tahoma"/>
      <family val="2"/>
    </font>
    <font>
      <b/>
      <sz val="9"/>
      <color indexed="81"/>
      <name val="Tahoma"/>
      <family val="2"/>
    </font>
    <font>
      <sz val="9"/>
      <color theme="3"/>
      <name val="Calibri"/>
      <family val="2"/>
      <scheme val="minor"/>
    </font>
    <font>
      <b/>
      <sz val="10"/>
      <name val="Arial Narrow"/>
      <family val="2"/>
    </font>
    <font>
      <sz val="10"/>
      <color theme="8" tint="-0.249977111117893"/>
      <name val="Calibri"/>
      <family val="2"/>
      <scheme val="minor"/>
    </font>
    <font>
      <b/>
      <sz val="11"/>
      <color theme="4"/>
      <name val="Calibri"/>
      <family val="2"/>
      <scheme val="minor"/>
    </font>
    <font>
      <b/>
      <sz val="11"/>
      <color theme="4"/>
      <name val="Times New Roman"/>
      <family val="1"/>
    </font>
    <font>
      <sz val="10"/>
      <color theme="4"/>
      <name val="Arial"/>
      <family val="2"/>
    </font>
    <font>
      <b/>
      <sz val="1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4"/>
      </patternFill>
    </fill>
    <fill>
      <patternFill patternType="solid">
        <fgColor theme="4" tint="0.39997558519241921"/>
        <bgColor indexed="65"/>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16" fillId="14" borderId="0" applyNumberFormat="0" applyBorder="0" applyAlignment="0" applyProtection="0"/>
    <xf numFmtId="0" fontId="16" fillId="15" borderId="0" applyNumberFormat="0" applyBorder="0" applyAlignment="0" applyProtection="0"/>
  </cellStyleXfs>
  <cellXfs count="520">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2"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2" applyNumberFormat="1" applyFont="1" applyFill="1" applyBorder="1" applyProtection="1">
      <protection hidden="1"/>
    </xf>
    <xf numFmtId="10" fontId="0" fillId="3" borderId="1" xfId="4"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4"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2" applyFont="1" applyAlignment="1">
      <alignment horizontal="center"/>
    </xf>
    <xf numFmtId="0" fontId="1" fillId="0" borderId="0" xfId="3" applyAlignment="1">
      <alignment horizontal="center"/>
    </xf>
    <xf numFmtId="6" fontId="11" fillId="0" borderId="0" xfId="3" applyNumberFormat="1" applyFont="1" applyAlignment="1">
      <alignment horizontal="center"/>
    </xf>
    <xf numFmtId="0" fontId="2" fillId="0" borderId="0" xfId="3" applyFont="1" applyAlignment="1">
      <alignment horizontal="center"/>
    </xf>
    <xf numFmtId="0" fontId="2" fillId="0" borderId="0" xfId="3" applyFont="1" applyAlignment="1">
      <alignment horizontal="left"/>
    </xf>
    <xf numFmtId="44" fontId="1" fillId="5" borderId="12" xfId="2"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2" applyNumberFormat="1" applyFont="1" applyFill="1" applyBorder="1" applyProtection="1">
      <protection locked="0"/>
    </xf>
    <xf numFmtId="44" fontId="1" fillId="0" borderId="0" xfId="2" applyFill="1" applyBorder="1" applyAlignment="1">
      <alignment horizontal="right"/>
    </xf>
    <xf numFmtId="44" fontId="0" fillId="0" borderId="0" xfId="0" applyNumberFormat="1" applyProtection="1">
      <protection hidden="1"/>
    </xf>
    <xf numFmtId="42" fontId="1" fillId="0" borderId="0" xfId="3" applyNumberFormat="1" applyAlignment="1">
      <alignment horizontal="right"/>
    </xf>
    <xf numFmtId="0" fontId="1" fillId="0" borderId="0" xfId="0" quotePrefix="1" applyFont="1"/>
    <xf numFmtId="164" fontId="1" fillId="7" borderId="1" xfId="2" applyNumberFormat="1" applyFont="1" applyFill="1" applyBorder="1" applyProtection="1"/>
    <xf numFmtId="42" fontId="0" fillId="0" borderId="0" xfId="0" applyNumberFormat="1"/>
    <xf numFmtId="0" fontId="2" fillId="8" borderId="1" xfId="0" quotePrefix="1"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9" borderId="1" xfId="0" applyFont="1" applyFill="1" applyBorder="1" applyAlignment="1" applyProtection="1">
      <alignment horizontal="left" wrapText="1"/>
      <protection hidden="1"/>
    </xf>
    <xf numFmtId="0" fontId="1" fillId="8" borderId="1"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165" fontId="2" fillId="4" borderId="9" xfId="2" applyNumberFormat="1" applyFont="1" applyFill="1" applyBorder="1" applyAlignment="1" applyProtection="1">
      <alignment horizontal="right"/>
      <protection hidden="1"/>
    </xf>
    <xf numFmtId="0" fontId="2" fillId="8" borderId="11" xfId="0" applyFont="1" applyFill="1" applyBorder="1" applyAlignment="1" applyProtection="1">
      <alignment horizontal="left"/>
      <protection hidden="1"/>
    </xf>
    <xf numFmtId="170" fontId="1" fillId="0" borderId="1" xfId="2" applyNumberFormat="1" applyFont="1" applyFill="1" applyBorder="1" applyProtection="1"/>
    <xf numFmtId="1" fontId="2" fillId="0" borderId="0" xfId="0" applyNumberFormat="1" applyFont="1"/>
    <xf numFmtId="0" fontId="0" fillId="0" borderId="3" xfId="0" applyBorder="1" applyProtection="1">
      <protection hidden="1"/>
    </xf>
    <xf numFmtId="0" fontId="5" fillId="8" borderId="9" xfId="0" quotePrefix="1" applyFont="1" applyFill="1" applyBorder="1" applyAlignment="1" applyProtection="1">
      <alignment horizontal="center"/>
      <protection hidden="1"/>
    </xf>
    <xf numFmtId="0" fontId="1" fillId="8"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8"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2" fillId="0" borderId="0" xfId="5" applyAlignment="1" applyProtection="1"/>
    <xf numFmtId="0" fontId="2" fillId="0" borderId="0" xfId="0" applyFont="1"/>
    <xf numFmtId="0" fontId="1" fillId="6" borderId="0" xfId="3" applyFill="1" applyAlignment="1">
      <alignment horizontal="center"/>
    </xf>
    <xf numFmtId="0" fontId="1" fillId="6" borderId="0" xfId="3" applyFill="1" applyAlignment="1">
      <alignment horizontal="center" wrapText="1"/>
    </xf>
    <xf numFmtId="0" fontId="2" fillId="6" borderId="0" xfId="3" applyFont="1" applyFill="1" applyAlignment="1">
      <alignment horizontal="center"/>
    </xf>
    <xf numFmtId="44" fontId="2" fillId="6" borderId="0" xfId="2" applyFont="1" applyFill="1" applyAlignment="1">
      <alignment horizontal="center"/>
    </xf>
    <xf numFmtId="44" fontId="1" fillId="6" borderId="0" xfId="2" applyFont="1" applyFill="1" applyAlignment="1">
      <alignment horizontal="center" wrapText="1"/>
    </xf>
    <xf numFmtId="44" fontId="1" fillId="6" borderId="0" xfId="2" applyFill="1" applyAlignment="1">
      <alignment horizontal="center"/>
    </xf>
    <xf numFmtId="0" fontId="0" fillId="6" borderId="0" xfId="0" applyFill="1"/>
    <xf numFmtId="44" fontId="0" fillId="0" borderId="1" xfId="2" applyFont="1" applyBorder="1" applyAlignment="1">
      <alignment vertical="center"/>
    </xf>
    <xf numFmtId="0" fontId="1" fillId="6" borderId="1" xfId="3" applyFill="1" applyBorder="1" applyAlignment="1">
      <alignment horizontal="center" vertical="center"/>
    </xf>
    <xf numFmtId="0" fontId="1" fillId="6" borderId="1" xfId="3" applyFill="1" applyBorder="1" applyAlignment="1">
      <alignment horizontal="center" vertical="center" wrapText="1"/>
    </xf>
    <xf numFmtId="0" fontId="1" fillId="6" borderId="9" xfId="3" applyFill="1" applyBorder="1" applyAlignment="1">
      <alignment horizontal="center" vertical="center"/>
    </xf>
    <xf numFmtId="0" fontId="2" fillId="6" borderId="16"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8" borderId="11"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center"/>
      <protection hidden="1"/>
    </xf>
    <xf numFmtId="0" fontId="2" fillId="8"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2" fillId="8" borderId="13" xfId="0" applyFont="1" applyFill="1" applyBorder="1" applyAlignment="1" applyProtection="1">
      <alignment horizontal="left"/>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8" borderId="1" xfId="0" applyFont="1" applyFill="1" applyBorder="1" applyAlignment="1" applyProtection="1">
      <alignment horizontal="center" vertical="top" wrapText="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1" fillId="8" borderId="11" xfId="0" quotePrefix="1" applyFont="1" applyFill="1" applyBorder="1" applyAlignment="1" applyProtection="1">
      <alignment wrapText="1"/>
      <protection hidden="1"/>
    </xf>
    <xf numFmtId="0" fontId="2" fillId="8" borderId="13" xfId="0" applyFont="1" applyFill="1" applyBorder="1" applyProtection="1">
      <protection hidden="1"/>
    </xf>
    <xf numFmtId="0" fontId="2" fillId="8" borderId="9" xfId="0" applyFont="1" applyFill="1" applyBorder="1" applyProtection="1">
      <protection hidden="1"/>
    </xf>
    <xf numFmtId="0" fontId="2" fillId="8" borderId="11"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8" xfId="0" applyFont="1" applyFill="1" applyBorder="1" applyAlignment="1" applyProtection="1">
      <alignment horizontal="center"/>
      <protection hidden="1"/>
    </xf>
    <xf numFmtId="3" fontId="2" fillId="11" borderId="1" xfId="0" quotePrefix="1" applyNumberFormat="1" applyFont="1" applyFill="1" applyBorder="1" applyAlignment="1" applyProtection="1">
      <alignment horizontal="left" vertical="center"/>
      <protection hidden="1"/>
    </xf>
    <xf numFmtId="0" fontId="2" fillId="8" borderId="5" xfId="0" quotePrefix="1"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0" fillId="8" borderId="0" xfId="0" applyFill="1"/>
    <xf numFmtId="0" fontId="2" fillId="8" borderId="5" xfId="0" applyFont="1" applyFill="1" applyBorder="1" applyAlignment="1" applyProtection="1">
      <alignment horizontal="left"/>
      <protection hidden="1"/>
    </xf>
    <xf numFmtId="0" fontId="2" fillId="7" borderId="11" xfId="0" applyFont="1" applyFill="1" applyBorder="1" applyProtection="1">
      <protection hidden="1"/>
    </xf>
    <xf numFmtId="0" fontId="2" fillId="7" borderId="13" xfId="0" applyFont="1" applyFill="1" applyBorder="1" applyProtection="1">
      <protection hidden="1"/>
    </xf>
    <xf numFmtId="0" fontId="2" fillId="7" borderId="11" xfId="0" applyFont="1" applyFill="1" applyBorder="1" applyAlignment="1" applyProtection="1">
      <alignment horizontal="left"/>
      <protection hidden="1"/>
    </xf>
    <xf numFmtId="0" fontId="2" fillId="7" borderId="13" xfId="0" applyFont="1" applyFill="1" applyBorder="1" applyAlignment="1" applyProtection="1">
      <alignment horizontal="left"/>
      <protection hidden="1"/>
    </xf>
    <xf numFmtId="0" fontId="2" fillId="7" borderId="9" xfId="0" applyFont="1" applyFill="1" applyBorder="1" applyAlignment="1" applyProtection="1">
      <alignment horizontal="left"/>
      <protection hidden="1"/>
    </xf>
    <xf numFmtId="0" fontId="2" fillId="7" borderId="9" xfId="0" applyFont="1" applyFill="1" applyBorder="1" applyProtection="1">
      <protection hidden="1"/>
    </xf>
    <xf numFmtId="0" fontId="2" fillId="7" borderId="2" xfId="0" quotePrefix="1" applyFont="1" applyFill="1" applyBorder="1" applyProtection="1">
      <protection hidden="1"/>
    </xf>
    <xf numFmtId="0" fontId="2" fillId="7" borderId="3" xfId="0" quotePrefix="1" applyFont="1" applyFill="1" applyBorder="1" applyProtection="1">
      <protection hidden="1"/>
    </xf>
    <xf numFmtId="0" fontId="2" fillId="7" borderId="4" xfId="0" quotePrefix="1" applyFont="1" applyFill="1" applyBorder="1" applyProtection="1">
      <protection hidden="1"/>
    </xf>
    <xf numFmtId="0" fontId="2" fillId="7" borderId="2" xfId="0" applyFont="1" applyFill="1" applyBorder="1" applyProtection="1">
      <protection hidden="1"/>
    </xf>
    <xf numFmtId="0" fontId="2" fillId="7" borderId="3" xfId="0" applyFont="1" applyFill="1" applyBorder="1" applyProtection="1">
      <protection hidden="1"/>
    </xf>
    <xf numFmtId="0" fontId="2" fillId="7" borderId="4" xfId="0" applyFont="1" applyFill="1" applyBorder="1" applyAlignment="1" applyProtection="1">
      <alignment horizontal="center"/>
      <protection hidden="1"/>
    </xf>
    <xf numFmtId="1" fontId="2" fillId="7" borderId="3" xfId="0" applyNumberFormat="1" applyFont="1" applyFill="1" applyBorder="1"/>
    <xf numFmtId="1" fontId="2" fillId="7" borderId="4" xfId="0" applyNumberFormat="1" applyFont="1" applyFill="1" applyBorder="1"/>
    <xf numFmtId="0" fontId="0" fillId="7" borderId="5" xfId="0" applyFill="1" applyBorder="1" applyProtection="1">
      <protection hidden="1"/>
    </xf>
    <xf numFmtId="0" fontId="0" fillId="7" borderId="8" xfId="0" applyFill="1" applyBorder="1" applyProtection="1">
      <protection hidden="1"/>
    </xf>
    <xf numFmtId="0" fontId="2" fillId="7" borderId="1" xfId="0" quotePrefix="1" applyFont="1" applyFill="1" applyBorder="1" applyAlignment="1" applyProtection="1">
      <alignment horizontal="left" vertical="top" wrapText="1"/>
      <protection hidden="1"/>
    </xf>
    <xf numFmtId="0" fontId="1" fillId="7" borderId="11" xfId="0" quotePrefix="1" applyFont="1" applyFill="1" applyBorder="1" applyAlignment="1" applyProtection="1">
      <alignment wrapText="1"/>
      <protection hidden="1"/>
    </xf>
    <xf numFmtId="0" fontId="2" fillId="7" borderId="1" xfId="0" applyFont="1" applyFill="1" applyBorder="1" applyAlignment="1" applyProtection="1">
      <alignment horizontal="left" vertical="top" wrapText="1"/>
      <protection hidden="1"/>
    </xf>
    <xf numFmtId="0" fontId="2" fillId="7" borderId="1" xfId="0" quotePrefix="1" applyFont="1" applyFill="1" applyBorder="1" applyAlignment="1" applyProtection="1">
      <alignment horizontal="center" vertical="top" wrapText="1"/>
      <protection hidden="1"/>
    </xf>
    <xf numFmtId="0" fontId="2" fillId="7" borderId="1" xfId="0" applyFont="1" applyFill="1" applyBorder="1" applyAlignment="1" applyProtection="1">
      <alignment horizontal="center" vertical="top" wrapText="1"/>
      <protection hidden="1"/>
    </xf>
    <xf numFmtId="0" fontId="1" fillId="7" borderId="5" xfId="0" applyFont="1" applyFill="1" applyBorder="1" applyProtection="1">
      <protection hidden="1"/>
    </xf>
    <xf numFmtId="0" fontId="0" fillId="7" borderId="0" xfId="0" applyFill="1"/>
    <xf numFmtId="0" fontId="2" fillId="7" borderId="5" xfId="0" quotePrefix="1" applyFont="1" applyFill="1" applyBorder="1" applyAlignment="1" applyProtection="1">
      <alignment horizontal="left"/>
      <protection hidden="1"/>
    </xf>
    <xf numFmtId="0" fontId="2" fillId="7" borderId="5" xfId="0" applyFont="1" applyFill="1" applyBorder="1" applyAlignment="1" applyProtection="1">
      <alignment horizontal="left"/>
      <protection hidden="1"/>
    </xf>
    <xf numFmtId="0" fontId="2" fillId="7" borderId="7" xfId="0" quotePrefix="1" applyFont="1" applyFill="1" applyBorder="1" applyAlignment="1" applyProtection="1">
      <alignment horizontal="left"/>
      <protection hidden="1"/>
    </xf>
    <xf numFmtId="0" fontId="1" fillId="11" borderId="1" xfId="0" applyFont="1" applyFill="1" applyBorder="1" applyAlignment="1" applyProtection="1">
      <alignment horizontal="left"/>
      <protection locked="0" hidden="1"/>
    </xf>
    <xf numFmtId="0" fontId="0" fillId="8" borderId="0" xfId="0" applyFill="1" applyProtection="1">
      <protection hidden="1"/>
    </xf>
    <xf numFmtId="0" fontId="0" fillId="8" borderId="6" xfId="0" applyFill="1" applyBorder="1" applyProtection="1">
      <protection hidden="1"/>
    </xf>
    <xf numFmtId="0" fontId="0" fillId="8" borderId="3" xfId="0" applyFill="1" applyBorder="1" applyProtection="1">
      <protection hidden="1"/>
    </xf>
    <xf numFmtId="0" fontId="0" fillId="8" borderId="14" xfId="0" applyFill="1" applyBorder="1" applyProtection="1">
      <protection hidden="1"/>
    </xf>
    <xf numFmtId="0" fontId="0" fillId="8" borderId="8" xfId="0" applyFill="1" applyBorder="1" applyProtection="1">
      <protection hidden="1"/>
    </xf>
    <xf numFmtId="0" fontId="0" fillId="7" borderId="14" xfId="0" applyFill="1" applyBorder="1" applyProtection="1">
      <protection hidden="1"/>
    </xf>
    <xf numFmtId="0" fontId="1" fillId="8" borderId="2" xfId="0" applyFont="1" applyFill="1" applyBorder="1" applyProtection="1">
      <protection hidden="1"/>
    </xf>
    <xf numFmtId="0" fontId="0" fillId="8" borderId="3" xfId="0" applyFill="1" applyBorder="1"/>
    <xf numFmtId="0" fontId="1" fillId="8"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1" fillId="8" borderId="2" xfId="0" applyFont="1" applyFill="1" applyBorder="1" applyAlignment="1" applyProtection="1">
      <alignment horizontal="left"/>
      <protection hidden="1"/>
    </xf>
    <xf numFmtId="0" fontId="1" fillId="8"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7" borderId="11" xfId="0" quotePrefix="1" applyFont="1" applyFill="1" applyBorder="1" applyAlignment="1" applyProtection="1">
      <alignment horizontal="left"/>
      <protection hidden="1"/>
    </xf>
    <xf numFmtId="0" fontId="0" fillId="7" borderId="7" xfId="0" applyFill="1" applyBorder="1" applyProtection="1">
      <protection hidden="1"/>
    </xf>
    <xf numFmtId="0" fontId="0" fillId="7" borderId="0" xfId="0" applyFill="1" applyProtection="1">
      <protection hidden="1"/>
    </xf>
    <xf numFmtId="0" fontId="0" fillId="7" borderId="6" xfId="0" applyFill="1" applyBorder="1" applyProtection="1">
      <protection hidden="1"/>
    </xf>
    <xf numFmtId="0" fontId="2" fillId="7" borderId="11" xfId="0" quotePrefix="1"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1" fillId="8" borderId="11" xfId="0" quotePrefix="1" applyFont="1" applyFill="1" applyBorder="1" applyProtection="1">
      <protection hidden="1"/>
    </xf>
    <xf numFmtId="0" fontId="1" fillId="8" borderId="11" xfId="0" applyFont="1" applyFill="1" applyBorder="1" applyAlignment="1" applyProtection="1">
      <alignment horizontal="left"/>
      <protection hidden="1"/>
    </xf>
    <xf numFmtId="0" fontId="1" fillId="8"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0" fillId="12" borderId="1" xfId="2" applyFont="1" applyFill="1" applyBorder="1" applyAlignment="1">
      <alignment vertical="center"/>
    </xf>
    <xf numFmtId="44" fontId="14" fillId="13" borderId="0" xfId="0" applyNumberFormat="1" applyFont="1" applyFill="1"/>
    <xf numFmtId="0" fontId="15" fillId="15" borderId="0" xfId="7" applyFont="1"/>
    <xf numFmtId="0" fontId="15" fillId="15" borderId="0" xfId="7" applyFont="1" applyAlignment="1">
      <alignment horizontal="center"/>
    </xf>
    <xf numFmtId="0" fontId="17" fillId="0" borderId="0" xfId="0" applyFont="1"/>
    <xf numFmtId="14" fontId="17" fillId="0" borderId="0" xfId="0" applyNumberFormat="1" applyFont="1"/>
    <xf numFmtId="0" fontId="17" fillId="0" borderId="0" xfId="0" applyFont="1" applyAlignment="1">
      <alignment wrapText="1"/>
    </xf>
    <xf numFmtId="0" fontId="21" fillId="0" borderId="0" xfId="0" applyFont="1"/>
    <xf numFmtId="165" fontId="21" fillId="0" borderId="0" xfId="2" applyNumberFormat="1" applyFont="1"/>
    <xf numFmtId="0" fontId="22" fillId="0" borderId="0" xfId="0" applyFont="1"/>
    <xf numFmtId="0" fontId="19" fillId="16" borderId="0" xfId="0" applyFont="1" applyFill="1"/>
    <xf numFmtId="165" fontId="0" fillId="0" borderId="20" xfId="4" applyNumberFormat="1" applyFont="1" applyBorder="1" applyAlignment="1">
      <alignment horizontal="right"/>
    </xf>
    <xf numFmtId="0" fontId="10" fillId="13" borderId="20" xfId="3" applyFont="1" applyFill="1" applyBorder="1" applyAlignment="1">
      <alignment horizontal="center" vertical="center"/>
    </xf>
    <xf numFmtId="0" fontId="1" fillId="13" borderId="20" xfId="3" applyFill="1" applyBorder="1" applyAlignment="1">
      <alignment horizontal="right"/>
    </xf>
    <xf numFmtId="0" fontId="1" fillId="13" borderId="20" xfId="3" applyFill="1" applyBorder="1" applyAlignment="1">
      <alignment horizontal="right" wrapText="1"/>
    </xf>
    <xf numFmtId="6" fontId="11" fillId="13" borderId="20" xfId="3"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8" borderId="3" xfId="0" applyFont="1" applyFill="1" applyBorder="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4" xfId="0" quotePrefix="1" applyFont="1" applyFill="1" applyBorder="1" applyAlignment="1" applyProtection="1">
      <alignment horizontal="left"/>
      <protection hidden="1"/>
    </xf>
    <xf numFmtId="165" fontId="1" fillId="3" borderId="1" xfId="2" applyNumberFormat="1" applyFont="1" applyFill="1" applyBorder="1" applyProtection="1">
      <protection hidden="1"/>
    </xf>
    <xf numFmtId="0" fontId="1" fillId="7" borderId="0" xfId="0" applyFont="1" applyFill="1" applyProtection="1">
      <protection hidden="1"/>
    </xf>
    <xf numFmtId="0" fontId="2" fillId="7" borderId="0" xfId="0" quotePrefix="1" applyFont="1" applyFill="1" applyAlignment="1" applyProtection="1">
      <alignment horizontal="left"/>
      <protection hidden="1"/>
    </xf>
    <xf numFmtId="0" fontId="2" fillId="7" borderId="0" xfId="0" applyFont="1" applyFill="1" applyAlignment="1" applyProtection="1">
      <alignment horizontal="left"/>
      <protection hidden="1"/>
    </xf>
    <xf numFmtId="0" fontId="2" fillId="7" borderId="14" xfId="0" quotePrefix="1" applyFont="1" applyFill="1" applyBorder="1" applyAlignment="1" applyProtection="1">
      <alignment horizontal="left"/>
      <protection hidden="1"/>
    </xf>
    <xf numFmtId="6" fontId="11" fillId="13" borderId="0" xfId="3" applyNumberFormat="1" applyFont="1" applyFill="1" applyAlignment="1">
      <alignment horizontal="center"/>
    </xf>
    <xf numFmtId="165" fontId="21" fillId="0" borderId="23" xfId="2" applyNumberFormat="1" applyFont="1" applyBorder="1"/>
    <xf numFmtId="173" fontId="20" fillId="11" borderId="22" xfId="0" applyNumberFormat="1" applyFont="1" applyFill="1" applyBorder="1" applyAlignment="1">
      <alignment horizontal="center" vertical="center" wrapText="1"/>
    </xf>
    <xf numFmtId="2" fontId="17" fillId="0" borderId="0" xfId="0" applyNumberFormat="1" applyFont="1" applyAlignment="1">
      <alignment horizontal="center"/>
    </xf>
    <xf numFmtId="0" fontId="25" fillId="0" borderId="0" xfId="0" applyFont="1" applyAlignment="1">
      <alignment wrapText="1"/>
    </xf>
    <xf numFmtId="0" fontId="26"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6" borderId="24" xfId="0" applyNumberFormat="1" applyFont="1" applyFill="1" applyBorder="1" applyAlignment="1">
      <alignment horizontal="left"/>
    </xf>
    <xf numFmtId="0" fontId="1" fillId="8" borderId="15" xfId="0" quotePrefix="1" applyFont="1" applyFill="1" applyBorder="1" applyAlignment="1" applyProtection="1">
      <alignment horizontal="center" vertical="center" wrapText="1"/>
      <protection hidden="1"/>
    </xf>
    <xf numFmtId="0" fontId="1" fillId="8" borderId="16" xfId="0" quotePrefix="1" applyFont="1" applyFill="1" applyBorder="1" applyAlignment="1" applyProtection="1">
      <alignment horizontal="center" vertical="center" wrapText="1"/>
      <protection hidden="1"/>
    </xf>
    <xf numFmtId="0" fontId="1" fillId="7" borderId="15" xfId="0" quotePrefix="1" applyFont="1" applyFill="1" applyBorder="1" applyAlignment="1" applyProtection="1">
      <alignment horizontal="center" vertical="center" wrapText="1"/>
      <protection hidden="1"/>
    </xf>
    <xf numFmtId="0" fontId="1" fillId="7" borderId="16" xfId="0" quotePrefix="1" applyFont="1" applyFill="1" applyBorder="1" applyAlignment="1" applyProtection="1">
      <alignment horizontal="center" vertical="center" wrapText="1"/>
      <protection hidden="1"/>
    </xf>
    <xf numFmtId="10" fontId="1" fillId="3" borderId="9" xfId="0" applyNumberFormat="1" applyFont="1" applyFill="1" applyBorder="1"/>
    <xf numFmtId="0" fontId="1" fillId="2" borderId="9" xfId="0" quotePrefix="1" applyFont="1" applyFill="1" applyBorder="1" applyAlignment="1" applyProtection="1">
      <alignment horizontal="center"/>
      <protection hidden="1"/>
    </xf>
    <xf numFmtId="10" fontId="1" fillId="3" borderId="9" xfId="0" applyNumberFormat="1" applyFont="1" applyFill="1" applyBorder="1" applyProtection="1">
      <protection hidden="1"/>
    </xf>
    <xf numFmtId="0" fontId="14" fillId="8" borderId="15"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5" fillId="0" borderId="5" xfId="0" quotePrefix="1" applyFont="1" applyBorder="1" applyAlignment="1" applyProtection="1">
      <alignment horizontal="center"/>
      <protection locked="0"/>
    </xf>
    <xf numFmtId="0" fontId="5" fillId="7" borderId="5" xfId="0" quotePrefix="1" applyFont="1" applyFill="1" applyBorder="1" applyAlignment="1">
      <alignment horizontal="left"/>
    </xf>
    <xf numFmtId="175" fontId="27" fillId="0" borderId="0" xfId="0" applyNumberFormat="1" applyFont="1" applyAlignment="1">
      <alignment horizontal="center"/>
    </xf>
    <xf numFmtId="0" fontId="17" fillId="0" borderId="0" xfId="0" applyFont="1" applyAlignment="1">
      <alignment horizontal="center"/>
    </xf>
    <xf numFmtId="15" fontId="17" fillId="0" borderId="0" xfId="0" applyNumberFormat="1" applyFont="1"/>
    <xf numFmtId="6" fontId="28" fillId="0" borderId="14" xfId="0" applyNumberFormat="1" applyFont="1" applyBorder="1" applyAlignment="1">
      <alignment horizontal="center"/>
    </xf>
    <xf numFmtId="173" fontId="29" fillId="11" borderId="13" xfId="0" applyNumberFormat="1" applyFont="1" applyFill="1" applyBorder="1" applyAlignment="1">
      <alignment horizontal="left"/>
    </xf>
    <xf numFmtId="165" fontId="30" fillId="0" borderId="0" xfId="2" applyNumberFormat="1" applyFont="1"/>
    <xf numFmtId="17" fontId="17" fillId="0" borderId="0" xfId="0" applyNumberFormat="1" applyFont="1"/>
    <xf numFmtId="0" fontId="31" fillId="0" borderId="12" xfId="0" applyFont="1" applyBorder="1" applyAlignment="1" applyProtection="1">
      <alignment horizontal="center"/>
      <protection hidden="1"/>
    </xf>
    <xf numFmtId="0" fontId="2" fillId="0" borderId="0" xfId="0" applyFont="1" applyAlignment="1" applyProtection="1">
      <alignment horizontal="center"/>
      <protection hidden="1"/>
    </xf>
    <xf numFmtId="0" fontId="31" fillId="0" borderId="0" xfId="0" applyFont="1" applyAlignment="1" applyProtection="1">
      <alignment horizontal="center"/>
      <protection hidden="1"/>
    </xf>
    <xf numFmtId="2" fontId="2" fillId="0" borderId="0" xfId="0" applyNumberFormat="1" applyFont="1" applyAlignment="1" applyProtection="1">
      <alignment horizontal="right"/>
      <protection hidden="1"/>
    </xf>
    <xf numFmtId="176" fontId="2" fillId="0" borderId="0" xfId="0" applyNumberFormat="1" applyFont="1" applyAlignment="1" applyProtection="1">
      <alignment horizontal="right"/>
      <protection hidden="1"/>
    </xf>
    <xf numFmtId="0" fontId="1" fillId="8" borderId="13" xfId="0" quotePrefix="1" applyFont="1" applyFill="1" applyBorder="1" applyProtection="1">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7" borderId="11" xfId="0" quotePrefix="1" applyFont="1" applyFill="1" applyBorder="1" applyProtection="1">
      <protection hidden="1"/>
    </xf>
    <xf numFmtId="0" fontId="1" fillId="7" borderId="13" xfId="0" quotePrefix="1" applyFont="1" applyFill="1" applyBorder="1" applyProtection="1">
      <protection hidden="1"/>
    </xf>
    <xf numFmtId="0" fontId="1" fillId="8" borderId="1"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 fillId="8" borderId="15" xfId="0" quotePrefix="1" applyFont="1" applyFill="1" applyBorder="1" applyAlignment="1" applyProtection="1">
      <alignment horizontal="left"/>
      <protection hidden="1"/>
    </xf>
    <xf numFmtId="0" fontId="1" fillId="0" borderId="5" xfId="0" applyFont="1" applyBorder="1" applyProtection="1">
      <protection hidden="1"/>
    </xf>
    <xf numFmtId="168" fontId="1" fillId="8"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8" borderId="4" xfId="0" applyNumberFormat="1" applyFont="1" applyFill="1" applyBorder="1" applyAlignment="1" applyProtection="1">
      <alignment horizontal="center"/>
      <protection hidden="1"/>
    </xf>
    <xf numFmtId="170" fontId="1" fillId="7" borderId="1" xfId="2" applyNumberFormat="1" applyFont="1" applyFill="1" applyBorder="1" applyProtection="1">
      <protection hidden="1"/>
    </xf>
    <xf numFmtId="0" fontId="1" fillId="11" borderId="1" xfId="0" quotePrefix="1" applyFont="1" applyFill="1" applyBorder="1" applyAlignment="1" applyProtection="1">
      <alignment horizontal="left"/>
      <protection locked="0" hidden="1"/>
    </xf>
    <xf numFmtId="170" fontId="1" fillId="0" borderId="1" xfId="2" applyNumberFormat="1" applyFont="1" applyFill="1" applyBorder="1" applyAlignment="1" applyProtection="1">
      <alignment vertical="center"/>
      <protection locked="0"/>
    </xf>
    <xf numFmtId="170" fontId="1" fillId="7" borderId="1" xfId="2" applyNumberFormat="1" applyFont="1" applyFill="1" applyBorder="1" applyAlignment="1" applyProtection="1">
      <alignment vertical="center"/>
      <protection hidden="1"/>
    </xf>
    <xf numFmtId="170" fontId="1" fillId="0" borderId="10" xfId="2" applyNumberFormat="1" applyFont="1" applyFill="1" applyBorder="1" applyProtection="1">
      <protection locked="0"/>
    </xf>
    <xf numFmtId="170" fontId="1" fillId="7" borderId="10" xfId="2" applyNumberFormat="1" applyFont="1" applyFill="1" applyBorder="1" applyProtection="1">
      <protection hidden="1"/>
    </xf>
    <xf numFmtId="170" fontId="1" fillId="7" borderId="10" xfId="2" applyNumberFormat="1" applyFont="1" applyFill="1" applyBorder="1" applyAlignment="1" applyProtection="1">
      <alignment horizontal="center"/>
      <protection hidden="1"/>
    </xf>
    <xf numFmtId="170" fontId="1" fillId="0" borderId="11" xfId="2" applyNumberFormat="1" applyFont="1" applyFill="1" applyBorder="1" applyProtection="1">
      <protection locked="0"/>
    </xf>
    <xf numFmtId="0" fontId="1" fillId="8" borderId="0" xfId="0" applyFont="1" applyFill="1" applyProtection="1">
      <protection hidden="1"/>
    </xf>
    <xf numFmtId="0" fontId="1" fillId="8" borderId="6" xfId="0" applyFont="1" applyFill="1" applyBorder="1" applyAlignment="1" applyProtection="1">
      <alignment horizontal="left"/>
      <protection hidden="1"/>
    </xf>
    <xf numFmtId="170" fontId="1" fillId="7" borderId="9" xfId="2" applyNumberFormat="1" applyFont="1" applyFill="1" applyBorder="1" applyProtection="1">
      <protection hidden="1"/>
    </xf>
    <xf numFmtId="170" fontId="1" fillId="7" borderId="7" xfId="2" applyNumberFormat="1" applyFont="1" applyFill="1" applyBorder="1" applyProtection="1">
      <protection hidden="1"/>
    </xf>
    <xf numFmtId="170" fontId="1" fillId="7" borderId="8" xfId="2" applyNumberFormat="1" applyFont="1" applyFill="1" applyBorder="1" applyProtection="1">
      <protection hidden="1"/>
    </xf>
    <xf numFmtId="170" fontId="1" fillId="7" borderId="11" xfId="2"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7" borderId="6" xfId="0" applyNumberFormat="1" applyFont="1" applyFill="1" applyBorder="1" applyAlignment="1" applyProtection="1">
      <alignment horizontal="center"/>
      <protection hidden="1"/>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170" fontId="1" fillId="0" borderId="1" xfId="2" applyNumberFormat="1" applyFont="1" applyFill="1" applyBorder="1" applyProtection="1">
      <protection hidden="1"/>
    </xf>
    <xf numFmtId="0" fontId="1" fillId="7"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2" applyNumberFormat="1" applyFont="1" applyFill="1" applyBorder="1" applyAlignment="1" applyProtection="1">
      <alignment vertical="center"/>
    </xf>
    <xf numFmtId="170" fontId="1" fillId="0" borderId="1" xfId="2" applyNumberFormat="1" applyFont="1" applyFill="1" applyBorder="1" applyAlignment="1" applyProtection="1">
      <alignment vertical="center"/>
      <protection hidden="1"/>
    </xf>
    <xf numFmtId="170" fontId="1" fillId="0" borderId="10" xfId="2" applyNumberFormat="1" applyFont="1" applyFill="1" applyBorder="1" applyProtection="1"/>
    <xf numFmtId="170" fontId="1" fillId="0" borderId="10" xfId="2" applyNumberFormat="1" applyFont="1" applyFill="1" applyBorder="1" applyProtection="1">
      <protection hidden="1"/>
    </xf>
    <xf numFmtId="170" fontId="1" fillId="0" borderId="10" xfId="2" applyNumberFormat="1" applyFont="1" applyFill="1" applyBorder="1" applyAlignment="1" applyProtection="1">
      <alignment horizontal="center"/>
      <protection hidden="1"/>
    </xf>
    <xf numFmtId="170" fontId="1" fillId="0" borderId="11" xfId="2" applyNumberFormat="1" applyFont="1" applyFill="1" applyBorder="1" applyProtection="1"/>
    <xf numFmtId="0" fontId="1" fillId="7" borderId="6" xfId="0" applyFont="1" applyFill="1" applyBorder="1" applyAlignment="1" applyProtection="1">
      <alignment horizontal="left"/>
      <protection hidden="1"/>
    </xf>
    <xf numFmtId="170" fontId="1" fillId="0" borderId="9" xfId="2" applyNumberFormat="1" applyFont="1" applyFill="1" applyBorder="1" applyProtection="1">
      <protection hidden="1"/>
    </xf>
    <xf numFmtId="170" fontId="1" fillId="0" borderId="7" xfId="2" applyNumberFormat="1" applyFont="1" applyFill="1" applyBorder="1" applyProtection="1">
      <protection hidden="1"/>
    </xf>
    <xf numFmtId="170" fontId="1" fillId="0" borderId="8" xfId="2" applyNumberFormat="1" applyFont="1" applyFill="1" applyBorder="1" applyProtection="1">
      <protection hidden="1"/>
    </xf>
    <xf numFmtId="170" fontId="1" fillId="0" borderId="11" xfId="2" applyNumberFormat="1" applyFont="1" applyFill="1" applyBorder="1" applyProtection="1">
      <protection hidden="1"/>
    </xf>
    <xf numFmtId="170" fontId="1" fillId="7" borderId="6" xfId="2" applyNumberFormat="1" applyFont="1" applyFill="1" applyBorder="1" applyProtection="1">
      <protection hidden="1"/>
    </xf>
    <xf numFmtId="3" fontId="1" fillId="3" borderId="11" xfId="1" applyNumberFormat="1" applyFont="1" applyFill="1" applyBorder="1" applyProtection="1">
      <protection hidden="1"/>
    </xf>
    <xf numFmtId="174" fontId="1" fillId="3" borderId="1" xfId="1"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1"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4" applyNumberFormat="1" applyFont="1" applyFill="1" applyBorder="1" applyProtection="1">
      <protection hidden="1"/>
    </xf>
    <xf numFmtId="10" fontId="1" fillId="3" borderId="1" xfId="4" applyNumberFormat="1" applyFont="1" applyFill="1" applyBorder="1" applyProtection="1">
      <protection hidden="1"/>
    </xf>
    <xf numFmtId="0" fontId="1" fillId="2" borderId="3" xfId="0" quotePrefix="1" applyFont="1" applyFill="1" applyBorder="1" applyAlignment="1" applyProtection="1">
      <alignment horizontal="left"/>
      <protection hidden="1"/>
    </xf>
    <xf numFmtId="165" fontId="1" fillId="3" borderId="16" xfId="2"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1" xfId="0" applyNumberFormat="1" applyFont="1" applyFill="1" applyBorder="1" applyProtection="1">
      <protection hidden="1"/>
    </xf>
    <xf numFmtId="170" fontId="1" fillId="9" borderId="1" xfId="2" applyNumberFormat="1" applyFont="1" applyFill="1" applyBorder="1" applyProtection="1">
      <protection hidden="1"/>
    </xf>
    <xf numFmtId="170" fontId="1" fillId="3" borderId="1" xfId="2" applyNumberFormat="1" applyFont="1" applyFill="1" applyBorder="1" applyProtection="1">
      <protection hidden="1"/>
    </xf>
    <xf numFmtId="165" fontId="1" fillId="3" borderId="2" xfId="2" applyNumberFormat="1" applyFont="1" applyFill="1" applyBorder="1"/>
    <xf numFmtId="165" fontId="1" fillId="3" borderId="3" xfId="2" applyNumberFormat="1" applyFont="1" applyFill="1" applyBorder="1"/>
    <xf numFmtId="10" fontId="1" fillId="3" borderId="4" xfId="4" applyNumberFormat="1" applyFont="1" applyFill="1" applyBorder="1"/>
    <xf numFmtId="165" fontId="1" fillId="3" borderId="5" xfId="2" applyNumberFormat="1" applyFont="1" applyFill="1" applyBorder="1"/>
    <xf numFmtId="165" fontId="1" fillId="3" borderId="0" xfId="2" applyNumberFormat="1" applyFont="1" applyFill="1" applyBorder="1"/>
    <xf numFmtId="10" fontId="1" fillId="3" borderId="6" xfId="4" applyNumberFormat="1" applyFont="1" applyFill="1" applyBorder="1"/>
    <xf numFmtId="165" fontId="1" fillId="3" borderId="7" xfId="2" applyNumberFormat="1" applyFont="1" applyFill="1" applyBorder="1"/>
    <xf numFmtId="10" fontId="1" fillId="3" borderId="8" xfId="4" applyNumberFormat="1" applyFont="1" applyFill="1" applyBorder="1"/>
    <xf numFmtId="0" fontId="1" fillId="3" borderId="9" xfId="0" applyFont="1" applyFill="1" applyBorder="1"/>
    <xf numFmtId="164" fontId="1" fillId="3" borderId="1" xfId="2" applyNumberFormat="1" applyFont="1" applyFill="1" applyBorder="1" applyProtection="1"/>
    <xf numFmtId="10" fontId="1" fillId="3" borderId="4" xfId="0" applyNumberFormat="1" applyFont="1" applyFill="1" applyBorder="1"/>
    <xf numFmtId="167" fontId="1" fillId="3" borderId="4" xfId="0" applyNumberFormat="1" applyFont="1" applyFill="1" applyBorder="1"/>
    <xf numFmtId="0" fontId="1" fillId="3" borderId="6" xfId="0" applyFont="1" applyFill="1" applyBorder="1"/>
    <xf numFmtId="169" fontId="1" fillId="3" borderId="1" xfId="1" applyNumberFormat="1" applyFont="1" applyFill="1" applyBorder="1"/>
    <xf numFmtId="6" fontId="1" fillId="3" borderId="1" xfId="2" applyNumberFormat="1" applyFont="1" applyFill="1" applyBorder="1"/>
    <xf numFmtId="8" fontId="1" fillId="3" borderId="1" xfId="2" applyNumberFormat="1" applyFont="1" applyFill="1" applyBorder="1"/>
    <xf numFmtId="10" fontId="1" fillId="3" borderId="9" xfId="4" applyNumberFormat="1" applyFont="1" applyFill="1" applyBorder="1" applyProtection="1"/>
    <xf numFmtId="43" fontId="1" fillId="3" borderId="4" xfId="1" applyFont="1" applyFill="1" applyBorder="1" applyProtection="1"/>
    <xf numFmtId="0" fontId="1" fillId="2" borderId="13" xfId="0" applyFont="1" applyFill="1" applyBorder="1"/>
    <xf numFmtId="0" fontId="1" fillId="3" borderId="1" xfId="2" applyNumberFormat="1" applyFont="1" applyFill="1" applyBorder="1"/>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5" xfId="0" applyFont="1" applyBorder="1" applyAlignment="1" applyProtection="1">
      <alignment horizontal="left"/>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0" xfId="0" quotePrefix="1" applyFont="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7" fillId="0" borderId="7"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2" fillId="8" borderId="11" xfId="0" applyFont="1" applyFill="1" applyBorder="1" applyAlignment="1" applyProtection="1">
      <alignment horizontal="center"/>
      <protection hidden="1"/>
    </xf>
    <xf numFmtId="0" fontId="2" fillId="8" borderId="13"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3" fillId="8" borderId="11"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0" borderId="5" xfId="0"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1" fillId="0" borderId="5" xfId="0" quotePrefix="1" applyFont="1" applyBorder="1" applyAlignment="1" applyProtection="1">
      <alignment horizontal="left"/>
      <protection hidden="1"/>
    </xf>
    <xf numFmtId="0" fontId="1" fillId="0" borderId="6" xfId="0" quotePrefix="1" applyFont="1" applyBorder="1" applyAlignment="1" applyProtection="1">
      <alignment horizontal="left"/>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1" fillId="8" borderId="0" xfId="0" quotePrefix="1" applyFont="1" applyFill="1" applyAlignment="1" applyProtection="1">
      <alignment horizontal="center" vertical="center" wrapText="1"/>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10" fontId="2" fillId="0" borderId="11" xfId="4" applyNumberFormat="1" applyFont="1" applyFill="1" applyBorder="1" applyAlignment="1" applyProtection="1">
      <protection locked="0"/>
    </xf>
    <xf numFmtId="10" fontId="2" fillId="0" borderId="9" xfId="4" applyNumberFormat="1" applyFont="1" applyFill="1" applyBorder="1" applyAlignment="1" applyProtection="1">
      <protection locked="0"/>
    </xf>
    <xf numFmtId="166" fontId="2" fillId="7" borderId="11" xfId="1" applyNumberFormat="1" applyFont="1" applyFill="1" applyBorder="1" applyAlignment="1" applyProtection="1"/>
    <xf numFmtId="166" fontId="2" fillId="7" borderId="9" xfId="1" applyNumberFormat="1" applyFont="1" applyFill="1" applyBorder="1" applyAlignment="1" applyProtection="1"/>
    <xf numFmtId="166" fontId="2" fillId="0" borderId="11" xfId="1" applyNumberFormat="1" applyFont="1" applyFill="1" applyBorder="1" applyAlignment="1" applyProtection="1">
      <protection locked="0"/>
    </xf>
    <xf numFmtId="166" fontId="2" fillId="0" borderId="9" xfId="1" applyNumberFormat="1" applyFont="1" applyFill="1" applyBorder="1" applyAlignment="1" applyProtection="1">
      <protection locked="0"/>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164" fontId="2" fillId="7" borderId="11" xfId="2" applyNumberFormat="1" applyFont="1" applyFill="1" applyBorder="1" applyAlignment="1" applyProtection="1">
      <protection hidden="1"/>
    </xf>
    <xf numFmtId="164" fontId="2" fillId="7" borderId="9" xfId="2" applyNumberFormat="1" applyFont="1" applyFill="1" applyBorder="1" applyAlignment="1" applyProtection="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7" xfId="0" quotePrefix="1" applyFont="1" applyFill="1" applyBorder="1" applyAlignment="1" applyProtection="1">
      <alignment horizontal="left"/>
      <protection hidden="1"/>
    </xf>
    <xf numFmtId="0" fontId="1" fillId="8" borderId="14"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center"/>
      <protection hidden="1"/>
    </xf>
    <xf numFmtId="0" fontId="1" fillId="8" borderId="11" xfId="0" quotePrefix="1" applyFont="1" applyFill="1" applyBorder="1" applyAlignment="1" applyProtection="1">
      <alignment horizontal="left"/>
      <protection hidden="1"/>
    </xf>
    <xf numFmtId="0" fontId="14" fillId="8" borderId="10" xfId="0" quotePrefix="1" applyFont="1" applyFill="1" applyBorder="1" applyAlignment="1" applyProtection="1">
      <alignment horizontal="center" vertical="center" wrapText="1"/>
      <protection hidden="1"/>
    </xf>
    <xf numFmtId="0" fontId="14" fillId="8" borderId="15" xfId="0" quotePrefix="1" applyFont="1" applyFill="1" applyBorder="1" applyAlignment="1" applyProtection="1">
      <alignment horizontal="center" vertical="center" wrapText="1"/>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4"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8" borderId="1" xfId="0" applyFont="1" applyFill="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4" fillId="7" borderId="2" xfId="0" quotePrefix="1" applyFont="1" applyFill="1" applyBorder="1" applyAlignment="1" applyProtection="1">
      <alignment horizontal="center" vertical="center" wrapText="1"/>
      <protection hidden="1"/>
    </xf>
    <xf numFmtId="0" fontId="4" fillId="7" borderId="3" xfId="0" quotePrefix="1" applyFont="1" applyFill="1" applyBorder="1" applyAlignment="1" applyProtection="1">
      <alignment horizontal="center" vertical="center" wrapText="1"/>
      <protection hidden="1"/>
    </xf>
    <xf numFmtId="0" fontId="4" fillId="7" borderId="4" xfId="0" quotePrefix="1" applyFont="1" applyFill="1" applyBorder="1" applyAlignment="1" applyProtection="1">
      <alignment horizontal="center" vertical="center" wrapText="1"/>
      <protection hidden="1"/>
    </xf>
    <xf numFmtId="0" fontId="4" fillId="7" borderId="5" xfId="0" quotePrefix="1" applyFont="1" applyFill="1" applyBorder="1" applyAlignment="1" applyProtection="1">
      <alignment horizontal="center" vertical="center" wrapText="1"/>
      <protection hidden="1"/>
    </xf>
    <xf numFmtId="0" fontId="4" fillId="7" borderId="0" xfId="0" quotePrefix="1" applyFont="1" applyFill="1" applyAlignment="1" applyProtection="1">
      <alignment horizontal="center" vertical="center" wrapText="1"/>
      <protection hidden="1"/>
    </xf>
    <xf numFmtId="0" fontId="4" fillId="7" borderId="6" xfId="0" quotePrefix="1" applyFont="1" applyFill="1" applyBorder="1" applyAlignment="1" applyProtection="1">
      <alignment horizontal="center" vertical="center" wrapText="1"/>
      <protection hidden="1"/>
    </xf>
    <xf numFmtId="0" fontId="4" fillId="7" borderId="7" xfId="0" quotePrefix="1" applyFont="1" applyFill="1" applyBorder="1" applyAlignment="1" applyProtection="1">
      <alignment horizontal="center" vertical="center" wrapText="1"/>
      <protection hidden="1"/>
    </xf>
    <xf numFmtId="0" fontId="4" fillId="7" borderId="14" xfId="0" quotePrefix="1" applyFont="1" applyFill="1" applyBorder="1" applyAlignment="1" applyProtection="1">
      <alignment horizontal="center" vertical="center" wrapText="1"/>
      <protection hidden="1"/>
    </xf>
    <xf numFmtId="0" fontId="4" fillId="7" borderId="8" xfId="0" quotePrefix="1" applyFont="1" applyFill="1" applyBorder="1" applyAlignment="1" applyProtection="1">
      <alignment horizontal="center" vertical="center" wrapText="1"/>
      <protection hidden="1"/>
    </xf>
    <xf numFmtId="171" fontId="2" fillId="7" borderId="11" xfId="2" applyNumberFormat="1" applyFont="1" applyFill="1" applyBorder="1" applyAlignment="1" applyProtection="1">
      <alignment horizontal="center"/>
      <protection hidden="1"/>
    </xf>
    <xf numFmtId="171" fontId="2" fillId="7" borderId="9" xfId="2" applyNumberFormat="1" applyFont="1" applyFill="1" applyBorder="1" applyAlignment="1" applyProtection="1">
      <alignment horizontal="center"/>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4" xfId="0" quotePrefix="1" applyFont="1" applyBorder="1" applyAlignment="1" applyProtection="1">
      <alignment horizontal="center" vertical="center"/>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164" fontId="2" fillId="0" borderId="11" xfId="2" applyNumberFormat="1" applyFont="1" applyFill="1" applyBorder="1" applyAlignment="1" applyProtection="1">
      <protection locked="0"/>
    </xf>
    <xf numFmtId="164" fontId="2" fillId="0" borderId="9" xfId="2"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0" fontId="2" fillId="7" borderId="11" xfId="0" quotePrefix="1" applyFont="1" applyFill="1" applyBorder="1" applyAlignment="1" applyProtection="1">
      <alignment horizontal="left"/>
      <protection hidden="1"/>
    </xf>
    <xf numFmtId="0" fontId="2" fillId="7" borderId="13" xfId="0" quotePrefix="1" applyFont="1" applyFill="1" applyBorder="1" applyAlignment="1" applyProtection="1">
      <alignment horizontal="left"/>
      <protection hidden="1"/>
    </xf>
    <xf numFmtId="0" fontId="2" fillId="7"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1" fontId="2" fillId="0" borderId="1" xfId="0" applyNumberFormat="1" applyFont="1" applyBorder="1" applyAlignment="1">
      <alignment horizontal="right"/>
    </xf>
    <xf numFmtId="164" fontId="2" fillId="0" borderId="11" xfId="2" applyNumberFormat="1" applyFont="1" applyFill="1" applyBorder="1" applyAlignment="1" applyProtection="1"/>
    <xf numFmtId="164" fontId="2" fillId="0" borderId="13" xfId="2" applyNumberFormat="1" applyFont="1" applyFill="1" applyBorder="1" applyAlignment="1" applyProtection="1"/>
    <xf numFmtId="164" fontId="2" fillId="7" borderId="13" xfId="2" applyNumberFormat="1" applyFont="1" applyFill="1" applyBorder="1" applyAlignment="1" applyProtection="1">
      <protection hidden="1"/>
    </xf>
    <xf numFmtId="10" fontId="2" fillId="0" borderId="11" xfId="4" applyNumberFormat="1" applyFont="1" applyFill="1" applyBorder="1" applyAlignment="1" applyProtection="1"/>
    <xf numFmtId="10" fontId="2" fillId="0" borderId="13" xfId="4" applyNumberFormat="1" applyFont="1" applyFill="1" applyBorder="1" applyAlignment="1" applyProtection="1"/>
    <xf numFmtId="166" fontId="2" fillId="7" borderId="13" xfId="1" applyNumberFormat="1" applyFont="1" applyFill="1" applyBorder="1" applyAlignment="1" applyProtection="1"/>
    <xf numFmtId="0" fontId="1" fillId="7" borderId="0" xfId="0" quotePrefix="1" applyFont="1" applyFill="1" applyAlignment="1" applyProtection="1">
      <alignment horizontal="center" vertical="center" wrapText="1"/>
      <protection hidden="1"/>
    </xf>
    <xf numFmtId="0" fontId="1" fillId="7" borderId="6" xfId="0" quotePrefix="1" applyFont="1" applyFill="1" applyBorder="1" applyAlignment="1" applyProtection="1">
      <alignment horizontal="center" vertical="center" wrapText="1"/>
      <protection hidden="1"/>
    </xf>
    <xf numFmtId="0" fontId="1" fillId="7" borderId="14" xfId="0" quotePrefix="1" applyFont="1" applyFill="1" applyBorder="1" applyAlignment="1" applyProtection="1">
      <alignment horizontal="center" vertical="center" wrapText="1"/>
      <protection hidden="1"/>
    </xf>
    <xf numFmtId="0" fontId="1" fillId="7" borderId="8" xfId="0" quotePrefix="1" applyFont="1" applyFill="1" applyBorder="1" applyAlignment="1" applyProtection="1">
      <alignment horizontal="center" vertical="center" wrapText="1"/>
      <protection hidden="1"/>
    </xf>
    <xf numFmtId="166" fontId="2" fillId="0" borderId="11" xfId="1" applyNumberFormat="1" applyFont="1" applyFill="1" applyBorder="1" applyAlignment="1" applyProtection="1"/>
    <xf numFmtId="166" fontId="2" fillId="0" borderId="13" xfId="1" applyNumberFormat="1" applyFont="1" applyFill="1" applyBorder="1" applyAlignment="1" applyProtection="1"/>
    <xf numFmtId="0" fontId="2" fillId="7" borderId="11" xfId="0" quotePrefix="1" applyFont="1" applyFill="1" applyBorder="1" applyAlignment="1" applyProtection="1">
      <alignment horizontal="center"/>
      <protection hidden="1"/>
    </xf>
    <xf numFmtId="0" fontId="2" fillId="7" borderId="9" xfId="0" quotePrefix="1" applyFont="1" applyFill="1" applyBorder="1" applyAlignment="1" applyProtection="1">
      <alignment horizontal="center"/>
      <protection hidden="1"/>
    </xf>
    <xf numFmtId="0" fontId="1" fillId="7" borderId="2" xfId="0" quotePrefix="1" applyFont="1" applyFill="1" applyBorder="1" applyAlignment="1" applyProtection="1">
      <alignment horizontal="left"/>
      <protection hidden="1"/>
    </xf>
    <xf numFmtId="0" fontId="1" fillId="7" borderId="3" xfId="0" quotePrefix="1" applyFont="1" applyFill="1" applyBorder="1" applyAlignment="1" applyProtection="1">
      <alignment horizontal="left"/>
      <protection hidden="1"/>
    </xf>
    <xf numFmtId="0" fontId="1" fillId="7" borderId="13" xfId="0" quotePrefix="1" applyFont="1" applyFill="1" applyBorder="1" applyAlignment="1" applyProtection="1">
      <alignment horizontal="left"/>
      <protection hidden="1"/>
    </xf>
    <xf numFmtId="0" fontId="1" fillId="7" borderId="9" xfId="0" quotePrefix="1" applyFont="1" applyFill="1" applyBorder="1" applyAlignment="1" applyProtection="1">
      <alignment horizontal="left"/>
      <protection hidden="1"/>
    </xf>
    <xf numFmtId="0" fontId="1" fillId="0" borderId="13" xfId="0" applyFont="1" applyBorder="1" applyAlignment="1">
      <alignment horizontal="left"/>
    </xf>
    <xf numFmtId="0" fontId="1" fillId="0" borderId="9" xfId="0" quotePrefix="1" applyFont="1" applyBorder="1" applyAlignment="1">
      <alignment horizontal="left"/>
    </xf>
    <xf numFmtId="0" fontId="1" fillId="7" borderId="7" xfId="0" quotePrefix="1" applyFont="1" applyFill="1" applyBorder="1" applyAlignment="1" applyProtection="1">
      <alignment horizontal="left"/>
      <protection hidden="1"/>
    </xf>
    <xf numFmtId="0" fontId="1" fillId="7" borderId="14" xfId="0" quotePrefix="1" applyFont="1" applyFill="1" applyBorder="1" applyAlignment="1" applyProtection="1">
      <alignment horizontal="left"/>
      <protection hidden="1"/>
    </xf>
    <xf numFmtId="0" fontId="1" fillId="0" borderId="9" xfId="0" applyFont="1" applyBorder="1" applyAlignment="1">
      <alignment horizontal="left"/>
    </xf>
    <xf numFmtId="0" fontId="1" fillId="7" borderId="11" xfId="0" quotePrefix="1" applyFont="1" applyFill="1" applyBorder="1" applyAlignment="1" applyProtection="1">
      <alignment horizontal="left"/>
      <protection hidden="1"/>
    </xf>
    <xf numFmtId="0" fontId="14" fillId="7" borderId="10" xfId="0" quotePrefix="1" applyFont="1" applyFill="1" applyBorder="1" applyAlignment="1" applyProtection="1">
      <alignment horizontal="center" vertical="center" wrapText="1"/>
      <protection hidden="1"/>
    </xf>
    <xf numFmtId="0" fontId="14" fillId="7" borderId="15" xfId="0" quotePrefix="1" applyFont="1" applyFill="1" applyBorder="1" applyAlignment="1" applyProtection="1">
      <alignment horizontal="center" vertical="center" wrapText="1"/>
      <protection hidden="1"/>
    </xf>
    <xf numFmtId="0" fontId="1" fillId="7" borderId="1" xfId="0" quotePrefix="1" applyFont="1" applyFill="1" applyBorder="1" applyAlignment="1" applyProtection="1">
      <alignment horizontal="left"/>
      <protection hidden="1"/>
    </xf>
    <xf numFmtId="171" fontId="2" fillId="0" borderId="11" xfId="2" applyNumberFormat="1" applyFont="1" applyFill="1" applyBorder="1" applyAlignment="1" applyProtection="1">
      <alignment horizontal="center"/>
      <protection hidden="1"/>
    </xf>
    <xf numFmtId="171" fontId="2" fillId="0" borderId="9" xfId="2" applyNumberFormat="1"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0" fontId="2" fillId="7" borderId="0" xfId="0" applyFont="1" applyFill="1" applyAlignment="1" applyProtection="1">
      <alignment horizontal="center"/>
      <protection hidden="1"/>
    </xf>
    <xf numFmtId="0" fontId="2" fillId="7" borderId="6" xfId="0" applyFont="1" applyFill="1" applyBorder="1" applyAlignment="1" applyProtection="1">
      <alignment horizontal="center"/>
      <protection hidden="1"/>
    </xf>
    <xf numFmtId="0" fontId="2" fillId="7" borderId="7" xfId="0" applyFont="1" applyFill="1" applyBorder="1" applyAlignment="1" applyProtection="1">
      <alignment horizontal="center"/>
      <protection hidden="1"/>
    </xf>
    <xf numFmtId="0" fontId="2" fillId="7" borderId="14" xfId="0" applyFont="1" applyFill="1" applyBorder="1" applyAlignment="1" applyProtection="1">
      <alignment horizontal="center"/>
      <protection hidden="1"/>
    </xf>
    <xf numFmtId="0" fontId="2" fillId="7" borderId="8" xfId="0" applyFont="1" applyFill="1" applyBorder="1" applyAlignment="1" applyProtection="1">
      <alignment horizontal="center"/>
      <protection hidden="1"/>
    </xf>
    <xf numFmtId="0" fontId="1" fillId="7" borderId="11" xfId="0" applyFont="1" applyFill="1" applyBorder="1" applyAlignment="1" applyProtection="1">
      <alignment horizontal="left"/>
      <protection hidden="1"/>
    </xf>
    <xf numFmtId="0" fontId="1" fillId="7" borderId="13" xfId="0" applyFont="1" applyFill="1" applyBorder="1" applyAlignment="1" applyProtection="1">
      <alignment horizontal="left"/>
      <protection hidden="1"/>
    </xf>
    <xf numFmtId="0" fontId="1" fillId="7" borderId="1" xfId="0" applyFont="1" applyFill="1" applyBorder="1" applyAlignment="1" applyProtection="1">
      <alignment horizontal="left"/>
      <protection hidden="1"/>
    </xf>
    <xf numFmtId="0" fontId="1" fillId="7" borderId="10" xfId="0" applyFont="1" applyFill="1" applyBorder="1" applyAlignment="1" applyProtection="1">
      <alignment horizontal="left"/>
      <protection hidden="1"/>
    </xf>
    <xf numFmtId="0" fontId="1" fillId="7" borderId="10" xfId="0" quotePrefix="1" applyFont="1" applyFill="1" applyBorder="1" applyAlignment="1" applyProtection="1">
      <alignment horizontal="left"/>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11" xfId="0" quotePrefix="1"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3" fontId="4" fillId="3" borderId="10" xfId="1" quotePrefix="1" applyNumberFormat="1" applyFont="1" applyFill="1" applyBorder="1" applyAlignment="1" applyProtection="1">
      <alignment horizontal="left" vertical="center" wrapText="1"/>
      <protection hidden="1"/>
    </xf>
    <xf numFmtId="3" fontId="4" fillId="3" borderId="15" xfId="1" quotePrefix="1" applyNumberFormat="1" applyFont="1" applyFill="1" applyBorder="1" applyAlignment="1" applyProtection="1">
      <alignment horizontal="left" vertical="center" wrapText="1"/>
      <protection hidden="1"/>
    </xf>
    <xf numFmtId="3" fontId="4" fillId="3" borderId="16" xfId="1" quotePrefix="1" applyNumberFormat="1" applyFont="1" applyFill="1" applyBorder="1" applyAlignment="1" applyProtection="1">
      <alignment horizontal="left" vertical="center" wrapText="1"/>
      <protection hidden="1"/>
    </xf>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1" applyFont="1" applyFill="1" applyBorder="1" applyAlignment="1" applyProtection="1"/>
    <xf numFmtId="43" fontId="1" fillId="3" borderId="9" xfId="1" applyFont="1" applyFill="1" applyBorder="1" applyAlignment="1" applyProtection="1"/>
    <xf numFmtId="0" fontId="1" fillId="2" borderId="11" xfId="0" quotePrefix="1" applyFont="1" applyFill="1" applyBorder="1" applyAlignment="1">
      <alignment horizontal="left"/>
    </xf>
    <xf numFmtId="0" fontId="1" fillId="2" borderId="9" xfId="0" quotePrefix="1" applyFont="1" applyFill="1" applyBorder="1" applyAlignment="1">
      <alignment horizontal="left"/>
    </xf>
    <xf numFmtId="0" fontId="2" fillId="2" borderId="11" xfId="0" quotePrefix="1" applyFont="1" applyFill="1" applyBorder="1" applyAlignment="1">
      <alignment horizontal="left"/>
    </xf>
    <xf numFmtId="0" fontId="2" fillId="2" borderId="9"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1" xfId="0" applyFont="1" applyFill="1" applyBorder="1" applyAlignment="1">
      <alignment horizontal="left"/>
    </xf>
    <xf numFmtId="0" fontId="1" fillId="2" borderId="7" xfId="0" applyFont="1" applyFill="1" applyBorder="1" applyAlignment="1">
      <alignment horizontal="left"/>
    </xf>
    <xf numFmtId="0" fontId="1" fillId="2" borderId="14"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6" xfId="0" applyFont="1" applyFill="1" applyBorder="1" applyAlignment="1">
      <alignment horizontal="left"/>
    </xf>
    <xf numFmtId="0" fontId="1" fillId="2" borderId="1" xfId="0" quotePrefix="1"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3" xfId="0" quotePrefix="1" applyFont="1" applyFill="1" applyBorder="1" applyAlignment="1">
      <alignment horizontal="left"/>
    </xf>
    <xf numFmtId="0" fontId="15" fillId="14" borderId="0" xfId="6" applyFont="1" applyAlignment="1"/>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19" xfId="0" applyFont="1" applyFill="1" applyBorder="1" applyAlignment="1">
      <alignment horizontal="center" vertical="center"/>
    </xf>
    <xf numFmtId="0" fontId="1" fillId="0" borderId="0" xfId="0" applyFont="1" applyAlignment="1" applyProtection="1">
      <protection hidden="1"/>
    </xf>
    <xf numFmtId="0" fontId="1" fillId="0" borderId="6" xfId="0" applyFont="1" applyBorder="1" applyAlignment="1" applyProtection="1">
      <protection hidden="1"/>
    </xf>
    <xf numFmtId="0" fontId="7" fillId="0" borderId="7" xfId="0" applyFont="1" applyBorder="1" applyAlignment="1" applyProtection="1">
      <protection hidden="1"/>
    </xf>
    <xf numFmtId="0" fontId="7" fillId="0" borderId="14" xfId="0" applyFont="1" applyBorder="1" applyAlignment="1" applyProtection="1">
      <protection hidden="1"/>
    </xf>
    <xf numFmtId="0" fontId="7" fillId="0" borderId="8" xfId="0" applyFont="1" applyBorder="1" applyAlignment="1" applyProtection="1">
      <protection hidden="1"/>
    </xf>
    <xf numFmtId="0" fontId="0" fillId="8" borderId="7" xfId="0" applyFill="1" applyBorder="1" applyAlignment="1" applyProtection="1">
      <protection hidden="1"/>
    </xf>
    <xf numFmtId="0" fontId="0" fillId="8" borderId="0" xfId="0" applyFill="1" applyAlignment="1" applyProtection="1">
      <protection hidden="1"/>
    </xf>
    <xf numFmtId="0" fontId="0" fillId="8" borderId="6" xfId="0" applyFill="1" applyBorder="1" applyAlignment="1" applyProtection="1">
      <protection hidden="1"/>
    </xf>
    <xf numFmtId="0" fontId="0" fillId="8" borderId="5" xfId="0" applyFill="1" applyBorder="1" applyAlignment="1" applyProtection="1">
      <protection hidden="1"/>
    </xf>
    <xf numFmtId="0" fontId="1" fillId="8" borderId="11" xfId="0" quotePrefix="1" applyFont="1" applyFill="1" applyBorder="1" applyAlignment="1" applyProtection="1">
      <protection hidden="1"/>
    </xf>
    <xf numFmtId="0" fontId="1" fillId="8" borderId="13" xfId="0" quotePrefix="1" applyFont="1" applyFill="1" applyBorder="1" applyAlignment="1" applyProtection="1">
      <protection hidden="1"/>
    </xf>
    <xf numFmtId="0" fontId="1" fillId="0" borderId="13" xfId="0" applyFont="1" applyBorder="1" applyAlignment="1" applyProtection="1">
      <protection hidden="1"/>
    </xf>
    <xf numFmtId="0" fontId="1" fillId="0" borderId="14" xfId="0" applyFont="1" applyBorder="1" applyAlignment="1" applyProtection="1">
      <protection hidden="1"/>
    </xf>
    <xf numFmtId="0" fontId="1" fillId="8" borderId="9" xfId="0" quotePrefix="1" applyFont="1" applyFill="1" applyBorder="1" applyAlignment="1" applyProtection="1">
      <protection hidden="1"/>
    </xf>
    <xf numFmtId="0" fontId="2" fillId="8" borderId="11" xfId="0" quotePrefix="1" applyFont="1" applyFill="1" applyBorder="1" applyAlignment="1" applyProtection="1">
      <protection hidden="1"/>
    </xf>
    <xf numFmtId="0" fontId="2" fillId="8" borderId="13" xfId="0" quotePrefix="1" applyFont="1" applyFill="1" applyBorder="1" applyAlignment="1" applyProtection="1">
      <protection hidden="1"/>
    </xf>
    <xf numFmtId="0" fontId="2" fillId="8" borderId="9" xfId="0" quotePrefix="1" applyFont="1" applyFill="1" applyBorder="1" applyAlignment="1" applyProtection="1">
      <protection hidden="1"/>
    </xf>
    <xf numFmtId="0" fontId="0" fillId="7" borderId="11" xfId="0" applyFill="1" applyBorder="1" applyAlignment="1" applyProtection="1">
      <protection hidden="1"/>
    </xf>
    <xf numFmtId="0" fontId="0" fillId="7" borderId="3" xfId="0" applyFill="1" applyBorder="1" applyAlignment="1" applyProtection="1">
      <protection hidden="1"/>
    </xf>
    <xf numFmtId="0" fontId="0" fillId="7" borderId="4" xfId="0" applyFill="1" applyBorder="1" applyAlignment="1" applyProtection="1">
      <protection hidden="1"/>
    </xf>
    <xf numFmtId="0" fontId="0" fillId="7" borderId="7" xfId="0" applyFill="1" applyBorder="1" applyAlignment="1" applyProtection="1">
      <protection hidden="1"/>
    </xf>
    <xf numFmtId="0" fontId="0" fillId="7" borderId="0" xfId="0" applyFill="1" applyAlignment="1" applyProtection="1">
      <protection hidden="1"/>
    </xf>
    <xf numFmtId="0" fontId="0" fillId="7" borderId="6" xfId="0" applyFill="1" applyBorder="1" applyAlignment="1" applyProtection="1">
      <protection hidden="1"/>
    </xf>
    <xf numFmtId="0" fontId="2" fillId="7" borderId="11" xfId="0" quotePrefix="1" applyFont="1" applyFill="1" applyBorder="1" applyAlignment="1" applyProtection="1">
      <protection hidden="1"/>
    </xf>
    <xf numFmtId="0" fontId="2" fillId="7" borderId="13" xfId="0" quotePrefix="1" applyFont="1" applyFill="1" applyBorder="1" applyAlignment="1" applyProtection="1">
      <protection hidden="1"/>
    </xf>
    <xf numFmtId="0" fontId="1" fillId="7" borderId="11" xfId="0" applyFont="1" applyFill="1" applyBorder="1" applyAlignment="1" applyProtection="1">
      <protection hidden="1"/>
    </xf>
    <xf numFmtId="0" fontId="1" fillId="7" borderId="13" xfId="0" applyFont="1" applyFill="1" applyBorder="1" applyAlignment="1" applyProtection="1">
      <protection hidden="1"/>
    </xf>
    <xf numFmtId="0" fontId="1" fillId="7" borderId="11" xfId="0" quotePrefix="1" applyFont="1" applyFill="1" applyBorder="1" applyAlignment="1" applyProtection="1">
      <protection hidden="1"/>
    </xf>
    <xf numFmtId="0" fontId="1" fillId="7" borderId="13" xfId="0" quotePrefix="1" applyFont="1" applyFill="1" applyBorder="1" applyAlignment="1" applyProtection="1">
      <protection hidden="1"/>
    </xf>
    <xf numFmtId="0" fontId="1" fillId="7" borderId="9" xfId="0" quotePrefix="1" applyFont="1" applyFill="1" applyBorder="1" applyAlignment="1" applyProtection="1">
      <protection hidden="1"/>
    </xf>
    <xf numFmtId="0" fontId="2" fillId="7" borderId="9" xfId="0" quotePrefix="1" applyFont="1" applyFill="1" applyBorder="1" applyAlignment="1" applyProtection="1">
      <protection hidden="1"/>
    </xf>
    <xf numFmtId="0" fontId="2" fillId="2" borderId="11" xfId="0" applyFont="1" applyFill="1" applyBorder="1" applyAlignment="1"/>
    <xf numFmtId="0" fontId="2" fillId="2" borderId="9" xfId="0" applyFont="1" applyFill="1" applyBorder="1" applyAlignment="1"/>
    <xf numFmtId="0" fontId="2" fillId="2" borderId="13" xfId="0" applyFont="1" applyFill="1" applyBorder="1" applyAlignment="1"/>
    <xf numFmtId="0" fontId="1" fillId="2" borderId="9" xfId="0" applyFont="1" applyFill="1" applyBorder="1" applyAlignment="1"/>
    <xf numFmtId="0" fontId="1" fillId="2" borderId="11" xfId="0" applyFont="1" applyFill="1" applyBorder="1" applyAlignment="1"/>
    <xf numFmtId="0" fontId="1" fillId="2" borderId="1" xfId="0" applyFont="1" applyFill="1" applyBorder="1" applyAlignment="1"/>
  </cellXfs>
  <cellStyles count="8">
    <cellStyle name="60% - Accent1" xfId="7" builtinId="32"/>
    <cellStyle name="Accent1" xfId="6" builtinId="29"/>
    <cellStyle name="Comma" xfId="1" builtinId="3"/>
    <cellStyle name="Currency" xfId="2" builtinId="4"/>
    <cellStyle name="Hyperlink" xfId="5" builtinId="8"/>
    <cellStyle name="Normal" xfId="0" builtinId="0"/>
    <cellStyle name="Normal 2" xfId="3" xr:uid="{00000000-0005-0000-0000-000006000000}"/>
    <cellStyle name="Percent" xfId="4" builtinId="5"/>
  </cellStyles>
  <dxfs count="6">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892387</xdr:colOff>
      <xdr:row>1</xdr:row>
      <xdr:rowOff>287443</xdr:rowOff>
    </xdr:to>
    <xdr:pic>
      <xdr:nvPicPr>
        <xdr:cNvPr id="3" name="image1.jpe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95250" y="74083"/>
          <a:ext cx="2480945"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2" name="Picture 1" descr="CFCU_CU_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 y="38100"/>
          <a:ext cx="2743200"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3" activePane="bottomLeft" state="frozen"/>
      <selection pane="bottomLeft" activeCell="C30" sqref="C30"/>
      <selection activeCell="C30" sqref="C30"/>
    </sheetView>
  </sheetViews>
  <sheetFormatPr defaultColWidth="9.140625" defaultRowHeight="13.15"/>
  <cols>
    <col min="1" max="1" width="28.5703125" style="4" customWidth="1"/>
    <col min="2" max="2" width="20.5703125" style="54" customWidth="1"/>
    <col min="3" max="3" width="20.5703125" style="4" customWidth="1"/>
    <col min="4" max="4" width="20.42578125" style="4" customWidth="1"/>
    <col min="5" max="5" width="20.5703125" style="4" customWidth="1"/>
    <col min="6" max="6" width="34.42578125" style="4" customWidth="1"/>
    <col min="7" max="7" width="1.140625" style="4" customWidth="1"/>
    <col min="8" max="16384" width="9.140625" style="4"/>
  </cols>
  <sheetData>
    <row r="1" spans="1:6" ht="15.6">
      <c r="A1" s="312" t="s">
        <v>0</v>
      </c>
      <c r="B1" s="313"/>
      <c r="C1" s="313"/>
      <c r="D1" s="313"/>
      <c r="E1" s="313"/>
      <c r="F1" s="51" t="str">
        <f>Main!J1</f>
        <v>CFCU V13.18 - Aug 25</v>
      </c>
    </row>
    <row r="2" spans="1:6" ht="15.6">
      <c r="A2" s="314"/>
      <c r="B2" s="315"/>
      <c r="C2" s="315"/>
      <c r="D2" s="315"/>
      <c r="E2" s="315"/>
      <c r="F2" s="316"/>
    </row>
    <row r="3" spans="1:6" s="6" customFormat="1" ht="15">
      <c r="A3" s="309" t="s">
        <v>1</v>
      </c>
      <c r="B3" s="310"/>
      <c r="C3" s="310"/>
      <c r="D3" s="310"/>
      <c r="E3" s="310"/>
      <c r="F3" s="311"/>
    </row>
    <row r="4" spans="1:6" s="6" customFormat="1" ht="3.95" customHeight="1">
      <c r="A4" s="292"/>
      <c r="B4" s="293"/>
      <c r="C4" s="293"/>
      <c r="D4" s="293"/>
      <c r="E4" s="293"/>
      <c r="F4" s="294"/>
    </row>
    <row r="5" spans="1:6" s="6" customFormat="1" ht="15">
      <c r="A5" s="52" t="s">
        <v>2</v>
      </c>
      <c r="B5" s="296" t="s">
        <v>3</v>
      </c>
      <c r="C5" s="296"/>
      <c r="D5" s="296"/>
      <c r="E5" s="296"/>
      <c r="F5" s="297"/>
    </row>
    <row r="6" spans="1:6" s="6" customFormat="1" ht="3.95" customHeight="1">
      <c r="A6" s="292"/>
      <c r="B6" s="293"/>
      <c r="C6" s="293"/>
      <c r="D6" s="293"/>
      <c r="E6" s="293"/>
      <c r="F6" s="294"/>
    </row>
    <row r="7" spans="1:6" s="6" customFormat="1" ht="15">
      <c r="A7" s="216" t="s">
        <v>4</v>
      </c>
      <c r="B7" s="300" t="s">
        <v>5</v>
      </c>
      <c r="C7" s="296"/>
      <c r="D7" s="296"/>
      <c r="E7" s="296"/>
      <c r="F7" s="297"/>
    </row>
    <row r="8" spans="1:6" s="6" customFormat="1" ht="3.95" customHeight="1">
      <c r="A8" s="292"/>
      <c r="B8" s="293"/>
      <c r="C8" s="293"/>
      <c r="D8" s="293"/>
      <c r="E8" s="293"/>
      <c r="F8" s="294"/>
    </row>
    <row r="9" spans="1:6" s="6" customFormat="1" ht="15">
      <c r="A9" s="216" t="s">
        <v>6</v>
      </c>
      <c r="B9" s="300" t="s">
        <v>7</v>
      </c>
      <c r="C9" s="296"/>
      <c r="D9" s="296"/>
      <c r="E9" s="296"/>
      <c r="F9" s="297"/>
    </row>
    <row r="10" spans="1:6" s="6" customFormat="1" ht="3.95" customHeight="1">
      <c r="A10" s="292"/>
      <c r="B10" s="293"/>
      <c r="C10" s="293"/>
      <c r="D10" s="293"/>
      <c r="E10" s="293"/>
      <c r="F10" s="294"/>
    </row>
    <row r="11" spans="1:6" s="6" customFormat="1" ht="15">
      <c r="A11" s="52" t="s">
        <v>8</v>
      </c>
      <c r="B11" s="300" t="s">
        <v>9</v>
      </c>
      <c r="C11" s="296"/>
      <c r="D11" s="296"/>
      <c r="E11" s="296"/>
      <c r="F11" s="297"/>
    </row>
    <row r="12" spans="1:6" s="6" customFormat="1" ht="3.95" customHeight="1">
      <c r="A12" s="292"/>
      <c r="B12" s="293"/>
      <c r="C12" s="293"/>
      <c r="D12" s="293"/>
      <c r="E12" s="293"/>
      <c r="F12" s="294"/>
    </row>
    <row r="13" spans="1:6" s="6" customFormat="1" ht="15">
      <c r="A13" s="135" t="s">
        <v>10</v>
      </c>
      <c r="B13" s="300" t="s">
        <v>11</v>
      </c>
      <c r="C13" s="296"/>
      <c r="D13" s="296"/>
      <c r="E13" s="296"/>
      <c r="F13" s="297"/>
    </row>
    <row r="14" spans="1:6" s="6" customFormat="1" ht="15">
      <c r="A14" s="217"/>
      <c r="B14" s="296" t="s">
        <v>12</v>
      </c>
      <c r="C14" s="296"/>
      <c r="D14" s="296"/>
      <c r="E14" s="296"/>
      <c r="F14" s="297"/>
    </row>
    <row r="15" spans="1:6" s="6" customFormat="1" ht="3.95" customHeight="1">
      <c r="A15" s="306"/>
      <c r="B15" s="307"/>
      <c r="C15" s="307"/>
      <c r="D15" s="307"/>
      <c r="E15" s="307"/>
      <c r="F15" s="308"/>
    </row>
    <row r="16" spans="1:6" s="6" customFormat="1" ht="3.95" customHeight="1">
      <c r="A16" s="319"/>
      <c r="B16" s="320"/>
      <c r="C16" s="320"/>
      <c r="D16" s="320"/>
      <c r="E16" s="320"/>
      <c r="F16" s="321"/>
    </row>
    <row r="17" spans="1:6" ht="3.95" customHeight="1">
      <c r="A17" s="324"/>
      <c r="B17" s="325"/>
      <c r="C17" s="325"/>
      <c r="D17" s="325"/>
      <c r="E17" s="325"/>
      <c r="F17" s="326"/>
    </row>
    <row r="18" spans="1:6" s="6" customFormat="1" ht="15">
      <c r="A18" s="52" t="s">
        <v>13</v>
      </c>
      <c r="B18" s="300" t="s">
        <v>14</v>
      </c>
      <c r="C18" s="296"/>
      <c r="D18" s="296"/>
      <c r="E18" s="296"/>
      <c r="F18" s="297"/>
    </row>
    <row r="19" spans="1:6" s="6" customFormat="1" ht="3.95" customHeight="1">
      <c r="A19" s="292"/>
      <c r="B19" s="293"/>
      <c r="C19" s="293"/>
      <c r="D19" s="293"/>
      <c r="E19" s="293"/>
      <c r="F19" s="294"/>
    </row>
    <row r="20" spans="1:6" s="138" customFormat="1" ht="29.25" customHeight="1">
      <c r="A20" s="137" t="s">
        <v>15</v>
      </c>
      <c r="B20" s="327" t="s">
        <v>16</v>
      </c>
      <c r="C20" s="328"/>
      <c r="D20" s="328"/>
      <c r="E20" s="328"/>
      <c r="F20" s="329"/>
    </row>
    <row r="21" spans="1:6" s="6" customFormat="1" ht="15">
      <c r="A21" s="292"/>
      <c r="B21" s="293"/>
      <c r="C21" s="293"/>
      <c r="D21" s="293"/>
      <c r="E21" s="293"/>
      <c r="F21" s="294"/>
    </row>
    <row r="22" spans="1:6" s="6" customFormat="1" ht="15">
      <c r="A22" s="52" t="s">
        <v>17</v>
      </c>
      <c r="B22" s="322" t="s">
        <v>18</v>
      </c>
      <c r="C22" s="300"/>
      <c r="D22" s="300"/>
      <c r="E22" s="300"/>
      <c r="F22" s="323"/>
    </row>
    <row r="23" spans="1:6" s="6" customFormat="1" ht="15">
      <c r="A23" s="52" t="s">
        <v>19</v>
      </c>
      <c r="B23" s="322" t="s">
        <v>20</v>
      </c>
      <c r="C23" s="300"/>
      <c r="D23" s="300"/>
      <c r="E23" s="300"/>
      <c r="F23" s="323"/>
    </row>
    <row r="24" spans="1:6" s="6" customFormat="1" ht="15">
      <c r="A24" s="292"/>
      <c r="B24" s="293"/>
      <c r="C24" s="293"/>
      <c r="D24" s="293"/>
      <c r="E24" s="293"/>
      <c r="F24" s="294"/>
    </row>
    <row r="25" spans="1:6" s="6" customFormat="1" ht="15" customHeight="1">
      <c r="A25" s="55" t="s">
        <v>21</v>
      </c>
      <c r="B25" s="317" t="s">
        <v>22</v>
      </c>
      <c r="C25" s="298"/>
      <c r="D25" s="298"/>
      <c r="E25" s="298"/>
      <c r="F25" s="299"/>
    </row>
    <row r="26" spans="1:6" s="6" customFormat="1" ht="15">
      <c r="A26" s="218"/>
      <c r="B26" s="318"/>
      <c r="C26" s="298"/>
      <c r="D26" s="298"/>
      <c r="E26" s="298"/>
      <c r="F26" s="299"/>
    </row>
    <row r="27" spans="1:6" s="6" customFormat="1" ht="15">
      <c r="A27" s="217"/>
      <c r="B27" s="318"/>
      <c r="C27" s="298"/>
      <c r="D27" s="298"/>
      <c r="E27" s="298"/>
      <c r="F27" s="299"/>
    </row>
    <row r="28" spans="1:6" s="6" customFormat="1" ht="15">
      <c r="A28" s="292"/>
      <c r="B28" s="293"/>
      <c r="C28" s="293"/>
      <c r="D28" s="293"/>
      <c r="E28" s="293"/>
      <c r="F28" s="294"/>
    </row>
    <row r="29" spans="1:6" s="6" customFormat="1" ht="15">
      <c r="A29" s="135" t="s">
        <v>23</v>
      </c>
      <c r="B29" s="296" t="s">
        <v>24</v>
      </c>
      <c r="C29" s="296"/>
      <c r="D29" s="296"/>
      <c r="E29" s="296"/>
      <c r="F29" s="297"/>
    </row>
    <row r="30" spans="1:6" s="6" customFormat="1" ht="15">
      <c r="A30" s="217"/>
      <c r="B30" s="296" t="s">
        <v>25</v>
      </c>
      <c r="C30" s="296"/>
      <c r="D30" s="296"/>
      <c r="E30" s="296"/>
      <c r="F30" s="297"/>
    </row>
    <row r="31" spans="1:6" s="6" customFormat="1" ht="15">
      <c r="A31" s="292"/>
      <c r="B31" s="293"/>
      <c r="C31" s="293"/>
      <c r="D31" s="293"/>
      <c r="E31" s="293"/>
      <c r="F31" s="294"/>
    </row>
    <row r="32" spans="1:6" s="6" customFormat="1" ht="15">
      <c r="A32" s="309" t="s">
        <v>26</v>
      </c>
      <c r="B32" s="310"/>
      <c r="C32" s="310"/>
      <c r="D32" s="310"/>
      <c r="E32" s="310"/>
      <c r="F32" s="311"/>
    </row>
    <row r="33" spans="1:256" s="6" customFormat="1" ht="15">
      <c r="A33" s="292"/>
      <c r="B33" s="293"/>
      <c r="C33" s="293"/>
      <c r="D33" s="293"/>
      <c r="E33" s="293"/>
      <c r="F33" s="294"/>
    </row>
    <row r="34" spans="1:256" s="6" customFormat="1" ht="15">
      <c r="A34" s="52" t="s">
        <v>27</v>
      </c>
      <c r="B34" s="300" t="s">
        <v>28</v>
      </c>
      <c r="C34" s="296"/>
      <c r="D34" s="296"/>
      <c r="E34" s="296"/>
      <c r="F34" s="297"/>
    </row>
    <row r="35" spans="1:256" s="6" customFormat="1" ht="15">
      <c r="A35" s="23"/>
      <c r="B35" s="300" t="s">
        <v>29</v>
      </c>
      <c r="C35" s="296"/>
      <c r="D35" s="296"/>
      <c r="E35" s="296"/>
      <c r="F35" s="297"/>
    </row>
    <row r="36" spans="1:256" s="6" customFormat="1" ht="15">
      <c r="A36" s="292"/>
      <c r="B36" s="293"/>
      <c r="C36" s="293"/>
      <c r="D36" s="293"/>
      <c r="E36" s="293"/>
      <c r="F36" s="294"/>
    </row>
    <row r="37" spans="1:256" s="6" customFormat="1" ht="15">
      <c r="A37" s="216" t="s">
        <v>30</v>
      </c>
      <c r="B37" s="300" t="s">
        <v>31</v>
      </c>
      <c r="C37" s="296"/>
      <c r="D37" s="296"/>
      <c r="E37" s="296"/>
      <c r="F37" s="297"/>
    </row>
    <row r="38" spans="1:256" s="6" customFormat="1" ht="15">
      <c r="A38" s="23"/>
      <c r="B38" s="300" t="s">
        <v>32</v>
      </c>
      <c r="C38" s="296"/>
      <c r="D38" s="296"/>
      <c r="E38" s="296"/>
      <c r="F38" s="297"/>
    </row>
    <row r="39" spans="1:256" s="6" customFormat="1" ht="15">
      <c r="A39" s="23"/>
      <c r="B39" s="300" t="s">
        <v>33</v>
      </c>
      <c r="C39" s="296"/>
      <c r="D39" s="296"/>
      <c r="E39" s="296"/>
      <c r="F39" s="297"/>
    </row>
    <row r="40" spans="1:256" s="6" customFormat="1" ht="15">
      <c r="A40" s="23"/>
      <c r="B40" s="300" t="s">
        <v>34</v>
      </c>
      <c r="C40" s="296"/>
      <c r="D40" s="296"/>
      <c r="E40" s="296"/>
      <c r="F40" s="297"/>
    </row>
    <row r="41" spans="1:256" s="6" customFormat="1" ht="15">
      <c r="A41" s="306"/>
      <c r="B41" s="307"/>
      <c r="C41" s="307"/>
      <c r="D41" s="307"/>
      <c r="E41" s="307"/>
      <c r="F41" s="308"/>
    </row>
    <row r="42" spans="1:256" s="6" customFormat="1" ht="15">
      <c r="A42" s="309" t="s">
        <v>35</v>
      </c>
      <c r="B42" s="310"/>
      <c r="C42" s="310"/>
      <c r="D42" s="310"/>
      <c r="E42" s="310"/>
      <c r="F42" s="311"/>
    </row>
    <row r="43" spans="1:256" s="6" customFormat="1" ht="15">
      <c r="A43" s="319"/>
      <c r="B43" s="320"/>
      <c r="C43" s="320"/>
      <c r="D43" s="320"/>
      <c r="E43" s="320"/>
      <c r="F43" s="321"/>
    </row>
    <row r="44" spans="1:256" s="6" customFormat="1" ht="15">
      <c r="A44" s="52" t="s">
        <v>36</v>
      </c>
      <c r="B44" s="300" t="s">
        <v>37</v>
      </c>
      <c r="C44" s="296"/>
      <c r="D44" s="296"/>
      <c r="E44" s="296"/>
      <c r="F44" s="297"/>
    </row>
    <row r="45" spans="1:256" s="6" customFormat="1" ht="15">
      <c r="A45" s="292"/>
      <c r="B45" s="293"/>
      <c r="C45" s="293"/>
      <c r="D45" s="293"/>
      <c r="E45" s="293"/>
      <c r="F45" s="294"/>
    </row>
    <row r="46" spans="1:256" s="6" customFormat="1" ht="15">
      <c r="A46" s="52" t="s">
        <v>38</v>
      </c>
      <c r="B46" s="300" t="s">
        <v>39</v>
      </c>
      <c r="C46" s="296"/>
      <c r="D46" s="296"/>
      <c r="E46" s="296"/>
      <c r="F46" s="297"/>
    </row>
    <row r="47" spans="1:256" s="7" customFormat="1">
      <c r="A47" s="292"/>
      <c r="B47" s="293"/>
      <c r="C47" s="293"/>
      <c r="D47" s="293"/>
      <c r="E47" s="293"/>
      <c r="F47" s="294"/>
      <c r="G47" s="293"/>
      <c r="H47" s="293"/>
      <c r="I47" s="293"/>
      <c r="J47" s="293"/>
      <c r="K47" s="293"/>
      <c r="L47" s="294"/>
      <c r="M47" s="292"/>
      <c r="N47" s="293"/>
      <c r="O47" s="293"/>
      <c r="P47" s="293"/>
      <c r="Q47" s="293"/>
      <c r="R47" s="294"/>
      <c r="S47" s="292"/>
      <c r="T47" s="293"/>
      <c r="U47" s="293"/>
      <c r="V47" s="293"/>
      <c r="W47" s="293"/>
      <c r="X47" s="294"/>
      <c r="Y47" s="292"/>
      <c r="Z47" s="293"/>
      <c r="AA47" s="293"/>
      <c r="AB47" s="293"/>
      <c r="AC47" s="293"/>
      <c r="AD47" s="294"/>
      <c r="AE47" s="292"/>
      <c r="AF47" s="293"/>
      <c r="AG47" s="293"/>
      <c r="AH47" s="293"/>
      <c r="AI47" s="293"/>
      <c r="AJ47" s="294"/>
      <c r="AK47" s="292"/>
      <c r="AL47" s="293"/>
      <c r="AM47" s="293"/>
      <c r="AN47" s="293"/>
      <c r="AO47" s="293"/>
      <c r="AP47" s="294"/>
      <c r="AQ47" s="292"/>
      <c r="AR47" s="293"/>
      <c r="AS47" s="293"/>
      <c r="AT47" s="293"/>
      <c r="AU47" s="293"/>
      <c r="AV47" s="294"/>
      <c r="AW47" s="292"/>
      <c r="AX47" s="293"/>
      <c r="AY47" s="293"/>
      <c r="AZ47" s="293"/>
      <c r="BA47" s="293"/>
      <c r="BB47" s="294"/>
      <c r="BC47" s="292"/>
      <c r="BD47" s="293"/>
      <c r="BE47" s="293"/>
      <c r="BF47" s="293"/>
      <c r="BG47" s="293"/>
      <c r="BH47" s="294"/>
      <c r="BI47" s="292"/>
      <c r="BJ47" s="293"/>
      <c r="BK47" s="293"/>
      <c r="BL47" s="293"/>
      <c r="BM47" s="293"/>
      <c r="BN47" s="294"/>
      <c r="BO47" s="292"/>
      <c r="BP47" s="293"/>
      <c r="BQ47" s="293"/>
      <c r="BR47" s="293"/>
      <c r="BS47" s="293"/>
      <c r="BT47" s="294"/>
      <c r="BU47" s="292"/>
      <c r="BV47" s="293"/>
      <c r="BW47" s="293"/>
      <c r="BX47" s="293"/>
      <c r="BY47" s="293"/>
      <c r="BZ47" s="294"/>
      <c r="CA47" s="292"/>
      <c r="CB47" s="293"/>
      <c r="CC47" s="293"/>
      <c r="CD47" s="293"/>
      <c r="CE47" s="293"/>
      <c r="CF47" s="294"/>
      <c r="CG47" s="292"/>
      <c r="CH47" s="293"/>
      <c r="CI47" s="293"/>
      <c r="CJ47" s="293"/>
      <c r="CK47" s="293"/>
      <c r="CL47" s="294"/>
      <c r="CM47" s="292"/>
      <c r="CN47" s="293"/>
      <c r="CO47" s="293"/>
      <c r="CP47" s="293"/>
      <c r="CQ47" s="293"/>
      <c r="CR47" s="294"/>
      <c r="CS47" s="292"/>
      <c r="CT47" s="293"/>
      <c r="CU47" s="293"/>
      <c r="CV47" s="293"/>
      <c r="CW47" s="293"/>
      <c r="CX47" s="294"/>
      <c r="CY47" s="292"/>
      <c r="CZ47" s="293"/>
      <c r="DA47" s="293"/>
      <c r="DB47" s="293"/>
      <c r="DC47" s="293"/>
      <c r="DD47" s="294"/>
      <c r="DE47" s="292"/>
      <c r="DF47" s="293"/>
      <c r="DG47" s="293"/>
      <c r="DH47" s="293"/>
      <c r="DI47" s="293"/>
      <c r="DJ47" s="294"/>
      <c r="DK47" s="292"/>
      <c r="DL47" s="293"/>
      <c r="DM47" s="293"/>
      <c r="DN47" s="293"/>
      <c r="DO47" s="293"/>
      <c r="DP47" s="294"/>
      <c r="DQ47" s="292"/>
      <c r="DR47" s="293"/>
      <c r="DS47" s="293"/>
      <c r="DT47" s="293"/>
      <c r="DU47" s="293"/>
      <c r="DV47" s="294"/>
      <c r="DW47" s="292"/>
      <c r="DX47" s="293"/>
      <c r="DY47" s="293"/>
      <c r="DZ47" s="293"/>
      <c r="EA47" s="293"/>
      <c r="EB47" s="294"/>
      <c r="EC47" s="292"/>
      <c r="ED47" s="293"/>
      <c r="EE47" s="293"/>
      <c r="EF47" s="293"/>
      <c r="EG47" s="293"/>
      <c r="EH47" s="294"/>
      <c r="EI47" s="292"/>
      <c r="EJ47" s="293"/>
      <c r="EK47" s="293"/>
      <c r="EL47" s="293"/>
      <c r="EM47" s="293"/>
      <c r="EN47" s="294"/>
      <c r="EO47" s="292"/>
      <c r="EP47" s="293"/>
      <c r="EQ47" s="293"/>
      <c r="ER47" s="293"/>
      <c r="ES47" s="293"/>
      <c r="ET47" s="294"/>
      <c r="EU47" s="292"/>
      <c r="EV47" s="293"/>
      <c r="EW47" s="293"/>
      <c r="EX47" s="293"/>
      <c r="EY47" s="293"/>
      <c r="EZ47" s="294"/>
      <c r="FA47" s="292"/>
      <c r="FB47" s="293"/>
      <c r="FC47" s="293"/>
      <c r="FD47" s="293"/>
      <c r="FE47" s="293"/>
      <c r="FF47" s="294"/>
      <c r="FG47" s="292"/>
      <c r="FH47" s="293"/>
      <c r="FI47" s="293"/>
      <c r="FJ47" s="293"/>
      <c r="FK47" s="293"/>
      <c r="FL47" s="294"/>
      <c r="FM47" s="292"/>
      <c r="FN47" s="293"/>
      <c r="FO47" s="293"/>
      <c r="FP47" s="293"/>
      <c r="FQ47" s="293"/>
      <c r="FR47" s="294"/>
      <c r="FS47" s="292"/>
      <c r="FT47" s="293"/>
      <c r="FU47" s="293"/>
      <c r="FV47" s="293"/>
      <c r="FW47" s="293"/>
      <c r="FX47" s="294"/>
      <c r="FY47" s="292"/>
      <c r="FZ47" s="293"/>
      <c r="GA47" s="293"/>
      <c r="GB47" s="293"/>
      <c r="GC47" s="293"/>
      <c r="GD47" s="294"/>
      <c r="GE47" s="292"/>
      <c r="GF47" s="293"/>
      <c r="GG47" s="293"/>
      <c r="GH47" s="293"/>
      <c r="GI47" s="293"/>
      <c r="GJ47" s="294"/>
      <c r="GK47" s="292"/>
      <c r="GL47" s="293"/>
      <c r="GM47" s="293"/>
      <c r="GN47" s="293"/>
      <c r="GO47" s="293"/>
      <c r="GP47" s="294"/>
      <c r="GQ47" s="292"/>
      <c r="GR47" s="293"/>
      <c r="GS47" s="293"/>
      <c r="GT47" s="293"/>
      <c r="GU47" s="293"/>
      <c r="GV47" s="294"/>
      <c r="GW47" s="292"/>
      <c r="GX47" s="293"/>
      <c r="GY47" s="293"/>
      <c r="GZ47" s="293"/>
      <c r="HA47" s="293"/>
      <c r="HB47" s="294"/>
      <c r="HC47" s="292"/>
      <c r="HD47" s="293"/>
      <c r="HE47" s="293"/>
      <c r="HF47" s="293"/>
      <c r="HG47" s="293"/>
      <c r="HH47" s="294"/>
      <c r="HI47" s="292"/>
      <c r="HJ47" s="293"/>
      <c r="HK47" s="293"/>
      <c r="HL47" s="293"/>
      <c r="HM47" s="293"/>
      <c r="HN47" s="294"/>
      <c r="HO47" s="292"/>
      <c r="HP47" s="293"/>
      <c r="HQ47" s="293"/>
      <c r="HR47" s="293"/>
      <c r="HS47" s="293"/>
      <c r="HT47" s="294"/>
      <c r="HU47" s="292"/>
      <c r="HV47" s="293"/>
      <c r="HW47" s="293"/>
      <c r="HX47" s="293"/>
      <c r="HY47" s="293"/>
      <c r="HZ47" s="294"/>
      <c r="IA47" s="292"/>
      <c r="IB47" s="293"/>
      <c r="IC47" s="293"/>
      <c r="ID47" s="293"/>
      <c r="IE47" s="293"/>
      <c r="IF47" s="294"/>
      <c r="IG47" s="292"/>
      <c r="IH47" s="293"/>
      <c r="II47" s="293"/>
      <c r="IJ47" s="293"/>
      <c r="IK47" s="293"/>
      <c r="IL47" s="294"/>
      <c r="IM47" s="292"/>
      <c r="IN47" s="293"/>
      <c r="IO47" s="293"/>
      <c r="IP47" s="293"/>
      <c r="IQ47" s="293"/>
      <c r="IR47" s="294"/>
      <c r="IS47" s="292"/>
      <c r="IT47" s="293"/>
      <c r="IU47" s="293"/>
      <c r="IV47" s="293"/>
    </row>
    <row r="48" spans="1:256" s="6" customFormat="1" ht="15">
      <c r="A48" s="52" t="s">
        <v>40</v>
      </c>
      <c r="B48" s="298" t="s">
        <v>41</v>
      </c>
      <c r="C48" s="298"/>
      <c r="D48" s="298"/>
      <c r="E48" s="298"/>
      <c r="F48" s="299"/>
    </row>
    <row r="49" spans="1:6" s="6" customFormat="1" ht="15">
      <c r="A49" s="23"/>
      <c r="B49" s="298"/>
      <c r="C49" s="298"/>
      <c r="D49" s="298"/>
      <c r="E49" s="298"/>
      <c r="F49" s="299"/>
    </row>
    <row r="50" spans="1:6" s="6" customFormat="1" ht="15">
      <c r="A50" s="52" t="s">
        <v>42</v>
      </c>
      <c r="B50" s="298" t="s">
        <v>43</v>
      </c>
      <c r="C50" s="298"/>
      <c r="D50" s="298"/>
      <c r="E50" s="298"/>
      <c r="F50" s="299"/>
    </row>
    <row r="51" spans="1:6" s="6" customFormat="1" ht="15">
      <c r="A51" s="23"/>
      <c r="B51" s="298"/>
      <c r="C51" s="298"/>
      <c r="D51" s="298"/>
      <c r="E51" s="298"/>
      <c r="F51" s="299"/>
    </row>
    <row r="52" spans="1:6" s="6" customFormat="1" ht="15">
      <c r="A52" s="52" t="s">
        <v>44</v>
      </c>
      <c r="B52" s="298" t="s">
        <v>45</v>
      </c>
      <c r="C52" s="298"/>
      <c r="D52" s="298"/>
      <c r="E52" s="298"/>
      <c r="F52" s="299"/>
    </row>
    <row r="53" spans="1:6" s="6" customFormat="1" ht="15">
      <c r="A53" s="23"/>
      <c r="B53" s="298"/>
      <c r="C53" s="298"/>
      <c r="D53" s="298"/>
      <c r="E53" s="298"/>
      <c r="F53" s="299"/>
    </row>
    <row r="54" spans="1:6" s="6" customFormat="1" ht="15">
      <c r="A54" s="292"/>
      <c r="B54" s="293"/>
      <c r="C54" s="293"/>
      <c r="D54" s="293"/>
      <c r="E54" s="293"/>
      <c r="F54" s="294"/>
    </row>
    <row r="55" spans="1:6" s="6" customFormat="1" ht="15">
      <c r="A55" s="216" t="s">
        <v>46</v>
      </c>
      <c r="B55" s="300" t="s">
        <v>47</v>
      </c>
      <c r="C55" s="296"/>
      <c r="D55" s="296"/>
      <c r="E55" s="296"/>
      <c r="F55" s="297"/>
    </row>
    <row r="56" spans="1:6" s="6" customFormat="1" ht="15">
      <c r="A56" s="23"/>
      <c r="B56" s="300" t="s">
        <v>48</v>
      </c>
      <c r="C56" s="296"/>
      <c r="D56" s="296"/>
      <c r="E56" s="296"/>
      <c r="F56" s="297"/>
    </row>
    <row r="57" spans="1:6" s="6" customFormat="1" ht="15">
      <c r="A57" s="292"/>
      <c r="B57" s="293"/>
      <c r="C57" s="293"/>
      <c r="D57" s="293"/>
      <c r="E57" s="293"/>
      <c r="F57" s="294"/>
    </row>
    <row r="58" spans="1:6" s="6" customFormat="1" ht="15">
      <c r="A58" s="52" t="s">
        <v>49</v>
      </c>
      <c r="B58" s="300" t="s">
        <v>50</v>
      </c>
      <c r="C58" s="296"/>
      <c r="D58" s="296"/>
      <c r="E58" s="296"/>
      <c r="F58" s="297"/>
    </row>
    <row r="59" spans="1:6" s="6" customFormat="1" ht="15">
      <c r="A59" s="306"/>
      <c r="B59" s="307"/>
      <c r="C59" s="307"/>
      <c r="D59" s="307"/>
      <c r="E59" s="307"/>
      <c r="F59" s="308"/>
    </row>
    <row r="60" spans="1:6" s="6" customFormat="1" ht="15">
      <c r="A60" s="309" t="s">
        <v>51</v>
      </c>
      <c r="B60" s="310"/>
      <c r="C60" s="310"/>
      <c r="D60" s="310"/>
      <c r="E60" s="310"/>
      <c r="F60" s="311"/>
    </row>
    <row r="61" spans="1:6" s="6" customFormat="1" ht="15">
      <c r="A61" s="292"/>
      <c r="B61" s="293"/>
      <c r="C61" s="293"/>
      <c r="D61" s="293"/>
      <c r="E61" s="293"/>
      <c r="F61" s="294"/>
    </row>
    <row r="62" spans="1:6" s="6" customFormat="1" ht="15">
      <c r="A62" s="216" t="s">
        <v>52</v>
      </c>
      <c r="B62" s="300" t="s">
        <v>53</v>
      </c>
      <c r="C62" s="296"/>
      <c r="D62" s="296"/>
      <c r="E62" s="296"/>
      <c r="F62" s="297"/>
    </row>
    <row r="63" spans="1:6" s="6" customFormat="1" ht="15">
      <c r="A63" s="292"/>
      <c r="B63" s="293"/>
      <c r="C63" s="293"/>
      <c r="D63" s="293"/>
      <c r="E63" s="293"/>
      <c r="F63" s="294"/>
    </row>
    <row r="64" spans="1:6" s="6" customFormat="1" ht="15">
      <c r="A64" s="216" t="s">
        <v>54</v>
      </c>
      <c r="B64" s="295" t="s">
        <v>55</v>
      </c>
      <c r="C64" s="296"/>
      <c r="D64" s="296"/>
      <c r="E64" s="296"/>
      <c r="F64" s="297"/>
    </row>
    <row r="65" spans="1:6" s="6" customFormat="1" ht="15">
      <c r="A65" s="23"/>
      <c r="B65" s="304" t="s">
        <v>56</v>
      </c>
      <c r="C65" s="304"/>
      <c r="D65" s="304"/>
      <c r="E65" s="304"/>
      <c r="F65" s="305"/>
    </row>
    <row r="66" spans="1:6" s="6" customFormat="1" ht="15">
      <c r="A66" s="23"/>
      <c r="B66" s="304" t="s">
        <v>57</v>
      </c>
      <c r="C66" s="304"/>
      <c r="D66" s="304"/>
      <c r="E66" s="304"/>
      <c r="F66" s="305"/>
    </row>
    <row r="67" spans="1:6" s="6" customFormat="1" ht="15">
      <c r="A67" s="23"/>
      <c r="B67" s="304" t="s">
        <v>58</v>
      </c>
      <c r="C67" s="304"/>
      <c r="D67" s="304"/>
      <c r="E67" s="304"/>
      <c r="F67" s="305"/>
    </row>
    <row r="68" spans="1:6" s="6" customFormat="1" ht="15">
      <c r="A68" s="292"/>
      <c r="B68" s="293"/>
      <c r="C68" s="293"/>
      <c r="D68" s="293"/>
      <c r="E68" s="293"/>
      <c r="F68" s="294"/>
    </row>
    <row r="69" spans="1:6" s="6" customFormat="1" ht="15">
      <c r="A69" s="52" t="s">
        <v>59</v>
      </c>
      <c r="B69" s="296" t="s">
        <v>60</v>
      </c>
      <c r="C69" s="296"/>
      <c r="D69" s="296"/>
      <c r="E69" s="296"/>
      <c r="F69" s="297"/>
    </row>
    <row r="70" spans="1:6" s="6" customFormat="1" ht="15">
      <c r="A70" s="301"/>
      <c r="B70" s="302"/>
      <c r="C70" s="302"/>
      <c r="D70" s="302"/>
      <c r="E70" s="302"/>
      <c r="F70" s="303"/>
    </row>
    <row r="71" spans="1:6" s="6" customFormat="1" ht="15">
      <c r="A71" s="52" t="s">
        <v>61</v>
      </c>
      <c r="B71" s="296" t="s">
        <v>62</v>
      </c>
      <c r="C71" s="296"/>
      <c r="D71" s="296"/>
      <c r="E71" s="296"/>
      <c r="F71" s="297"/>
    </row>
    <row r="72" spans="1:6" s="6" customFormat="1" ht="15">
      <c r="A72" s="301"/>
      <c r="B72" s="302"/>
      <c r="C72" s="302"/>
      <c r="D72" s="302"/>
      <c r="E72" s="302"/>
      <c r="F72" s="303"/>
    </row>
    <row r="73" spans="1:6" s="6" customFormat="1" ht="15">
      <c r="A73" s="52" t="s">
        <v>63</v>
      </c>
      <c r="B73" s="296" t="s">
        <v>64</v>
      </c>
      <c r="C73" s="296"/>
      <c r="D73" s="296"/>
      <c r="E73" s="296"/>
      <c r="F73" s="297"/>
    </row>
    <row r="74" spans="1:6" s="6" customFormat="1" ht="15">
      <c r="A74" s="301"/>
      <c r="B74" s="302"/>
      <c r="C74" s="302"/>
      <c r="D74" s="302"/>
      <c r="E74" s="302"/>
      <c r="F74" s="303"/>
    </row>
    <row r="75" spans="1:6" s="6" customFormat="1" ht="15">
      <c r="A75" s="52" t="s">
        <v>65</v>
      </c>
      <c r="B75" s="296" t="s">
        <v>66</v>
      </c>
      <c r="C75" s="296"/>
      <c r="D75" s="296"/>
      <c r="E75" s="296"/>
      <c r="F75" s="297"/>
    </row>
    <row r="76" spans="1:6" s="6" customFormat="1" ht="15">
      <c r="A76" s="301"/>
      <c r="B76" s="302"/>
      <c r="C76" s="302"/>
      <c r="D76" s="302"/>
      <c r="E76" s="302"/>
      <c r="F76" s="303"/>
    </row>
    <row r="77" spans="1:6" s="6" customFormat="1" ht="15">
      <c r="A77" s="52" t="s">
        <v>67</v>
      </c>
      <c r="B77" s="296" t="s">
        <v>68</v>
      </c>
      <c r="C77" s="296"/>
      <c r="D77" s="296"/>
      <c r="E77" s="296"/>
      <c r="F77" s="297"/>
    </row>
    <row r="78" spans="1:6" s="6" customFormat="1" ht="15">
      <c r="A78" s="292"/>
      <c r="B78" s="293"/>
      <c r="C78" s="293"/>
      <c r="D78" s="293"/>
      <c r="E78" s="293"/>
      <c r="F78" s="294"/>
    </row>
    <row r="79" spans="1:6" s="6" customFormat="1" ht="15">
      <c r="A79" s="309" t="s">
        <v>26</v>
      </c>
      <c r="B79" s="310"/>
      <c r="C79" s="310"/>
      <c r="D79" s="310"/>
      <c r="E79" s="310"/>
      <c r="F79" s="311"/>
    </row>
    <row r="80" spans="1:6" s="6" customFormat="1" ht="15">
      <c r="A80" s="292"/>
      <c r="B80" s="293"/>
      <c r="C80" s="293"/>
      <c r="D80" s="293"/>
      <c r="E80" s="293"/>
      <c r="F80" s="294"/>
    </row>
    <row r="81" spans="1:6" s="6" customFormat="1" ht="15">
      <c r="A81" s="52" t="s">
        <v>69</v>
      </c>
      <c r="B81" s="296" t="s">
        <v>70</v>
      </c>
      <c r="C81" s="296"/>
      <c r="D81" s="296"/>
      <c r="E81" s="296"/>
      <c r="F81" s="297"/>
    </row>
    <row r="82" spans="1:6" s="6" customFormat="1" ht="15">
      <c r="A82" s="219"/>
      <c r="B82" s="296"/>
      <c r="C82" s="296"/>
      <c r="D82" s="296"/>
      <c r="E82" s="296"/>
      <c r="F82" s="297"/>
    </row>
    <row r="83" spans="1:6" s="6" customFormat="1" ht="15">
      <c r="A83" s="52" t="s">
        <v>71</v>
      </c>
      <c r="B83" s="322" t="s">
        <v>72</v>
      </c>
      <c r="C83" s="300"/>
      <c r="D83" s="300"/>
      <c r="E83" s="300"/>
      <c r="F83" s="323"/>
    </row>
    <row r="84" spans="1:6" s="6" customFormat="1" ht="15">
      <c r="A84" s="292"/>
      <c r="B84" s="293"/>
      <c r="C84" s="293"/>
      <c r="D84" s="293"/>
      <c r="E84" s="293"/>
      <c r="F84" s="294"/>
    </row>
    <row r="85" spans="1:6" s="6" customFormat="1" ht="15">
      <c r="A85" s="52" t="s">
        <v>73</v>
      </c>
      <c r="B85" s="295" t="s">
        <v>74</v>
      </c>
      <c r="C85" s="296"/>
      <c r="D85" s="296"/>
      <c r="E85" s="296"/>
      <c r="F85" s="297"/>
    </row>
    <row r="86" spans="1:6" s="6" customFormat="1" ht="15">
      <c r="A86" s="292"/>
      <c r="B86" s="293"/>
      <c r="C86" s="293"/>
      <c r="D86" s="293"/>
      <c r="E86" s="293"/>
      <c r="F86" s="294"/>
    </row>
    <row r="87" spans="1:6" s="6" customFormat="1" ht="15">
      <c r="A87" s="52" t="s">
        <v>75</v>
      </c>
      <c r="B87" s="322" t="s">
        <v>76</v>
      </c>
      <c r="C87" s="300"/>
      <c r="D87" s="300"/>
      <c r="E87" s="300"/>
      <c r="F87" s="323"/>
    </row>
    <row r="88" spans="1:6" s="6" customFormat="1" ht="15">
      <c r="A88" s="292"/>
      <c r="B88" s="293"/>
      <c r="C88" s="293"/>
      <c r="D88" s="293"/>
      <c r="E88" s="293"/>
      <c r="F88" s="294"/>
    </row>
    <row r="89" spans="1:6" s="6" customFormat="1" ht="15">
      <c r="A89" s="52" t="s">
        <v>77</v>
      </c>
      <c r="B89" s="300" t="s">
        <v>78</v>
      </c>
      <c r="C89" s="296"/>
      <c r="D89" s="296"/>
      <c r="E89" s="296"/>
      <c r="F89" s="297"/>
    </row>
    <row r="90" spans="1:6" s="6" customFormat="1" ht="15">
      <c r="A90" s="292"/>
      <c r="B90" s="293"/>
      <c r="C90" s="293"/>
      <c r="D90" s="293"/>
      <c r="E90" s="293"/>
      <c r="F90" s="294"/>
    </row>
    <row r="91" spans="1:6" s="6" customFormat="1" ht="15">
      <c r="A91" s="52" t="s">
        <v>79</v>
      </c>
      <c r="B91" s="300" t="s">
        <v>80</v>
      </c>
      <c r="C91" s="296"/>
      <c r="D91" s="296"/>
      <c r="E91" s="296"/>
      <c r="F91" s="297"/>
    </row>
    <row r="92" spans="1:6" s="6" customFormat="1" ht="15">
      <c r="A92" s="53"/>
      <c r="B92" s="330" t="s">
        <v>81</v>
      </c>
      <c r="C92" s="330"/>
      <c r="D92" s="330"/>
      <c r="E92" s="330"/>
      <c r="F92" s="331"/>
    </row>
    <row r="93" spans="1:6" s="6" customFormat="1" ht="15">
      <c r="A93" s="42"/>
      <c r="B93" s="330" t="s">
        <v>82</v>
      </c>
      <c r="C93" s="330"/>
      <c r="D93" s="330"/>
      <c r="E93" s="330"/>
      <c r="F93" s="331"/>
    </row>
    <row r="94" spans="1:6" s="6" customFormat="1" ht="15">
      <c r="A94" s="53"/>
      <c r="B94" s="330" t="s">
        <v>83</v>
      </c>
      <c r="C94" s="330"/>
      <c r="D94" s="330"/>
      <c r="E94" s="330"/>
      <c r="F94" s="331"/>
    </row>
    <row r="95" spans="1:6" s="6" customFormat="1" ht="15">
      <c r="A95" s="292"/>
      <c r="B95" s="293"/>
      <c r="C95" s="293"/>
      <c r="D95" s="293"/>
      <c r="E95" s="293"/>
      <c r="F95" s="294"/>
    </row>
    <row r="96" spans="1:6" s="6" customFormat="1" ht="15">
      <c r="A96" s="44" t="s">
        <v>84</v>
      </c>
      <c r="B96" s="296" t="s">
        <v>85</v>
      </c>
      <c r="C96" s="296"/>
      <c r="D96" s="296"/>
      <c r="E96" s="296"/>
      <c r="F96" s="297"/>
    </row>
    <row r="97" spans="1:6" s="6" customFormat="1" ht="15">
      <c r="A97" s="292"/>
      <c r="B97" s="293"/>
      <c r="C97" s="293"/>
      <c r="D97" s="293"/>
      <c r="E97" s="293"/>
      <c r="F97" s="294"/>
    </row>
    <row r="98" spans="1:6" s="6" customFormat="1" ht="15">
      <c r="A98" s="52" t="s">
        <v>86</v>
      </c>
      <c r="B98" s="300" t="s">
        <v>87</v>
      </c>
      <c r="C98" s="483"/>
      <c r="D98" s="483"/>
      <c r="E98" s="483"/>
      <c r="F98" s="484"/>
    </row>
    <row r="99" spans="1:6" s="6" customFormat="1" ht="15">
      <c r="A99" s="219"/>
      <c r="B99" s="296" t="s">
        <v>88</v>
      </c>
      <c r="C99" s="300"/>
      <c r="D99" s="300"/>
      <c r="E99" s="300"/>
      <c r="F99" s="323"/>
    </row>
    <row r="100" spans="1:6" s="6" customFormat="1" ht="15">
      <c r="A100" s="219"/>
      <c r="B100" s="296" t="s">
        <v>89</v>
      </c>
      <c r="C100" s="300"/>
      <c r="D100" s="300"/>
      <c r="E100" s="300"/>
      <c r="F100" s="323"/>
    </row>
    <row r="101" spans="1:6" s="6" customFormat="1" ht="15">
      <c r="A101" s="219"/>
      <c r="B101" s="296" t="s">
        <v>90</v>
      </c>
      <c r="C101" s="300"/>
      <c r="D101" s="300"/>
      <c r="E101" s="300"/>
      <c r="F101" s="323"/>
    </row>
    <row r="102" spans="1:6" s="6" customFormat="1" ht="15">
      <c r="A102" s="219"/>
      <c r="B102" s="483" t="s">
        <v>91</v>
      </c>
      <c r="C102" s="483"/>
      <c r="D102" s="483"/>
      <c r="E102" s="483"/>
      <c r="F102" s="484"/>
    </row>
    <row r="103" spans="1:6" s="6" customFormat="1" ht="15">
      <c r="A103" s="219"/>
      <c r="B103" s="300" t="s">
        <v>92</v>
      </c>
      <c r="C103" s="483"/>
      <c r="D103" s="483"/>
      <c r="E103" s="483"/>
      <c r="F103" s="484"/>
    </row>
    <row r="104" spans="1:6" s="6" customFormat="1" ht="15">
      <c r="A104" s="23"/>
      <c r="B104" s="300" t="s">
        <v>93</v>
      </c>
      <c r="C104" s="483"/>
      <c r="D104" s="483"/>
      <c r="E104" s="483"/>
      <c r="F104" s="484"/>
    </row>
    <row r="105" spans="1:6" s="6" customFormat="1" ht="15">
      <c r="A105" s="23"/>
      <c r="B105" s="300" t="s">
        <v>94</v>
      </c>
      <c r="C105" s="483"/>
      <c r="D105" s="483"/>
      <c r="E105" s="483"/>
      <c r="F105" s="484"/>
    </row>
    <row r="106" spans="1:6" s="6" customFormat="1" ht="15">
      <c r="A106" s="485"/>
      <c r="B106" s="486"/>
      <c r="C106" s="486"/>
      <c r="D106" s="486"/>
      <c r="E106" s="486"/>
      <c r="F106" s="487"/>
    </row>
  </sheetData>
  <mergeCells count="143">
    <mergeCell ref="A106:F106"/>
    <mergeCell ref="B83:F83"/>
    <mergeCell ref="A84:F84"/>
    <mergeCell ref="B82:F82"/>
    <mergeCell ref="B104:F104"/>
    <mergeCell ref="B99:F99"/>
    <mergeCell ref="B100:F100"/>
    <mergeCell ref="B101:F101"/>
    <mergeCell ref="B105:F105"/>
    <mergeCell ref="B103:F103"/>
    <mergeCell ref="B102:F102"/>
    <mergeCell ref="B93:F93"/>
    <mergeCell ref="B92:F92"/>
    <mergeCell ref="B94:F94"/>
    <mergeCell ref="B75:F75"/>
    <mergeCell ref="A78:F78"/>
    <mergeCell ref="A79:F79"/>
    <mergeCell ref="A80:F80"/>
    <mergeCell ref="B81:F81"/>
    <mergeCell ref="B87:F87"/>
    <mergeCell ref="A88:F88"/>
    <mergeCell ref="B98:F98"/>
    <mergeCell ref="B91:F91"/>
    <mergeCell ref="B89:F89"/>
    <mergeCell ref="A90:F90"/>
    <mergeCell ref="B96:F96"/>
    <mergeCell ref="A95:F95"/>
    <mergeCell ref="A97:F97"/>
    <mergeCell ref="B85:F85"/>
    <mergeCell ref="A76:F76"/>
    <mergeCell ref="B77:F77"/>
    <mergeCell ref="A86:F86"/>
    <mergeCell ref="A42:F42"/>
    <mergeCell ref="B38:F38"/>
    <mergeCell ref="B39:F39"/>
    <mergeCell ref="B37:F37"/>
    <mergeCell ref="B14:F14"/>
    <mergeCell ref="A43:F43"/>
    <mergeCell ref="A15:F15"/>
    <mergeCell ref="A16:F16"/>
    <mergeCell ref="A32:F32"/>
    <mergeCell ref="B40:F40"/>
    <mergeCell ref="A19:F19"/>
    <mergeCell ref="B23:F23"/>
    <mergeCell ref="B18:F18"/>
    <mergeCell ref="B22:F22"/>
    <mergeCell ref="A21:F21"/>
    <mergeCell ref="A24:F24"/>
    <mergeCell ref="A17:F17"/>
    <mergeCell ref="A36:F36"/>
    <mergeCell ref="B29:F29"/>
    <mergeCell ref="B30:F30"/>
    <mergeCell ref="A31:F31"/>
    <mergeCell ref="B20:F20"/>
    <mergeCell ref="A28:F28"/>
    <mergeCell ref="A33:F33"/>
    <mergeCell ref="B35:F35"/>
    <mergeCell ref="A1:E1"/>
    <mergeCell ref="B9:F9"/>
    <mergeCell ref="A12:F12"/>
    <mergeCell ref="A8:F8"/>
    <mergeCell ref="A2:F2"/>
    <mergeCell ref="B5:F5"/>
    <mergeCell ref="A4:F4"/>
    <mergeCell ref="A3:F3"/>
    <mergeCell ref="B7:F7"/>
    <mergeCell ref="A6:F6"/>
    <mergeCell ref="A10:F10"/>
    <mergeCell ref="B13:F13"/>
    <mergeCell ref="B11:F11"/>
    <mergeCell ref="B25:F27"/>
    <mergeCell ref="A45:F45"/>
    <mergeCell ref="B34:F34"/>
    <mergeCell ref="G47:L47"/>
    <mergeCell ref="B73:F73"/>
    <mergeCell ref="A74:F74"/>
    <mergeCell ref="B71:F71"/>
    <mergeCell ref="A72:F72"/>
    <mergeCell ref="A70:F70"/>
    <mergeCell ref="B67:F67"/>
    <mergeCell ref="B56:F56"/>
    <mergeCell ref="A57:F57"/>
    <mergeCell ref="B66:F66"/>
    <mergeCell ref="B58:F58"/>
    <mergeCell ref="A59:F59"/>
    <mergeCell ref="A60:F60"/>
    <mergeCell ref="A61:F61"/>
    <mergeCell ref="B55:F55"/>
    <mergeCell ref="B65:F65"/>
    <mergeCell ref="B62:F62"/>
    <mergeCell ref="A63:F63"/>
    <mergeCell ref="B46:F46"/>
    <mergeCell ref="A47:F47"/>
    <mergeCell ref="B44:F44"/>
    <mergeCell ref="A41:F41"/>
    <mergeCell ref="B69:F69"/>
    <mergeCell ref="HC47:HH47"/>
    <mergeCell ref="FS47:FX47"/>
    <mergeCell ref="HI47:HN47"/>
    <mergeCell ref="HO47:HT47"/>
    <mergeCell ref="FY47:GD47"/>
    <mergeCell ref="GE47:GJ47"/>
    <mergeCell ref="GK47:GP47"/>
    <mergeCell ref="GQ47:GV47"/>
    <mergeCell ref="A68:F68"/>
    <mergeCell ref="DQ47:DV47"/>
    <mergeCell ref="Y47:AD47"/>
    <mergeCell ref="AE47:AJ47"/>
    <mergeCell ref="AK47:AP47"/>
    <mergeCell ref="AQ47:AV47"/>
    <mergeCell ref="AW47:BB47"/>
    <mergeCell ref="BI47:BN47"/>
    <mergeCell ref="S47:X47"/>
    <mergeCell ref="M47:R47"/>
    <mergeCell ref="FM47:FR47"/>
    <mergeCell ref="BO47:BT47"/>
    <mergeCell ref="BU47:BZ47"/>
    <mergeCell ref="CA47:CF47"/>
    <mergeCell ref="CG47:CL47"/>
    <mergeCell ref="BC47:BH47"/>
    <mergeCell ref="B64:F64"/>
    <mergeCell ref="IS47:IV47"/>
    <mergeCell ref="A54:F54"/>
    <mergeCell ref="HU47:HZ47"/>
    <mergeCell ref="IA47:IF47"/>
    <mergeCell ref="IG47:IL47"/>
    <mergeCell ref="IM47:IR47"/>
    <mergeCell ref="GW47:HB47"/>
    <mergeCell ref="CM47:CR47"/>
    <mergeCell ref="CS47:CX47"/>
    <mergeCell ref="CY47:DD47"/>
    <mergeCell ref="DE47:DJ47"/>
    <mergeCell ref="DK47:DP47"/>
    <mergeCell ref="DW47:EB47"/>
    <mergeCell ref="EC47:EH47"/>
    <mergeCell ref="EI47:EN47"/>
    <mergeCell ref="EO47:ET47"/>
    <mergeCell ref="EU47:EZ47"/>
    <mergeCell ref="FA47:FF47"/>
    <mergeCell ref="FG47:FL47"/>
    <mergeCell ref="B48:F49"/>
    <mergeCell ref="B50:F51"/>
    <mergeCell ref="B52:F53"/>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8"/>
  <sheetViews>
    <sheetView showGridLines="0" tabSelected="1" zoomScale="90" zoomScaleNormal="90" workbookViewId="0">
      <selection activeCell="B12" sqref="B12:C12"/>
    </sheetView>
  </sheetViews>
  <sheetFormatPr defaultColWidth="0" defaultRowHeight="13.15" zeroHeight="1"/>
  <cols>
    <col min="1" max="1" width="25.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388"/>
      <c r="B1" s="76"/>
      <c r="C1" s="381" t="s">
        <v>95</v>
      </c>
      <c r="D1" s="381"/>
      <c r="E1" s="381"/>
      <c r="F1" s="381"/>
      <c r="G1" s="381"/>
      <c r="H1" s="381"/>
      <c r="I1" s="386"/>
      <c r="J1" s="379" t="s">
        <v>96</v>
      </c>
    </row>
    <row r="2" spans="1:10" ht="30" customHeight="1">
      <c r="A2" s="389"/>
      <c r="B2" s="77"/>
      <c r="C2" s="382" t="s">
        <v>97</v>
      </c>
      <c r="D2" s="382"/>
      <c r="E2" s="382"/>
      <c r="F2" s="382"/>
      <c r="G2" s="382"/>
      <c r="H2" s="382"/>
      <c r="I2" s="387"/>
      <c r="J2" s="380"/>
    </row>
    <row r="3" spans="1:10" ht="3.95" customHeight="1">
      <c r="A3" s="488"/>
      <c r="B3" s="489"/>
      <c r="C3" s="489"/>
      <c r="D3" s="489"/>
      <c r="E3" s="489"/>
      <c r="F3" s="489"/>
      <c r="G3" s="489"/>
      <c r="H3" s="489"/>
      <c r="I3" s="490"/>
    </row>
    <row r="4" spans="1:10">
      <c r="A4" s="73" t="s">
        <v>13</v>
      </c>
      <c r="B4" s="383"/>
      <c r="C4" s="384"/>
      <c r="D4" s="384"/>
      <c r="E4" s="384"/>
      <c r="F4" s="385"/>
      <c r="G4" s="96"/>
      <c r="H4" s="96"/>
      <c r="I4" s="220">
        <f ca="1">NOW()</f>
        <v>45954.570977546296</v>
      </c>
      <c r="J4" s="221"/>
    </row>
    <row r="5" spans="1:10" ht="3.95" customHeight="1">
      <c r="A5" s="491"/>
      <c r="B5" s="489"/>
      <c r="C5" s="489"/>
      <c r="D5" s="489"/>
      <c r="E5" s="489"/>
      <c r="F5" s="489"/>
      <c r="G5" s="489"/>
      <c r="H5" s="489"/>
      <c r="I5" s="490"/>
    </row>
    <row r="6" spans="1:10">
      <c r="A6" s="73" t="s">
        <v>15</v>
      </c>
      <c r="B6" s="392" t="s">
        <v>98</v>
      </c>
      <c r="C6" s="392"/>
      <c r="D6" s="131"/>
      <c r="E6" s="169"/>
      <c r="F6" s="127"/>
      <c r="G6" s="132"/>
      <c r="H6" s="132"/>
      <c r="I6" s="222"/>
      <c r="J6" s="221"/>
    </row>
    <row r="7" spans="1:10">
      <c r="A7" s="73" t="s">
        <v>17</v>
      </c>
      <c r="B7" s="390">
        <v>11500</v>
      </c>
      <c r="C7" s="391"/>
      <c r="D7" s="94"/>
      <c r="E7" s="170"/>
      <c r="F7" s="125"/>
      <c r="G7" s="125"/>
      <c r="H7" s="125"/>
      <c r="I7" s="126"/>
    </row>
    <row r="8" spans="1:10" ht="12.95" customHeight="1">
      <c r="A8" s="73" t="s">
        <v>19</v>
      </c>
      <c r="B8" s="390"/>
      <c r="C8" s="391"/>
      <c r="D8" s="94"/>
      <c r="E8" s="332" t="s">
        <v>99</v>
      </c>
      <c r="F8" s="332"/>
      <c r="G8" s="332"/>
      <c r="H8" s="332"/>
      <c r="I8" s="133"/>
    </row>
    <row r="9" spans="1:10" ht="12.95" customHeight="1">
      <c r="A9" s="47" t="s">
        <v>100</v>
      </c>
      <c r="B9" s="390"/>
      <c r="C9" s="391"/>
      <c r="D9" s="195" t="s">
        <v>101</v>
      </c>
      <c r="E9" s="170"/>
      <c r="F9" s="147"/>
      <c r="G9" s="147"/>
      <c r="H9" s="147"/>
      <c r="I9" s="133"/>
    </row>
    <row r="10" spans="1:10" ht="12.95" customHeight="1">
      <c r="A10" s="73" t="s">
        <v>102</v>
      </c>
      <c r="B10" s="348">
        <f>SUM(B7:C8)</f>
        <v>11500</v>
      </c>
      <c r="C10" s="349"/>
      <c r="D10" s="94"/>
      <c r="E10" s="332" t="s">
        <v>103</v>
      </c>
      <c r="F10" s="332"/>
      <c r="G10" s="332"/>
      <c r="H10" s="332"/>
      <c r="I10" s="133"/>
    </row>
    <row r="11" spans="1:10">
      <c r="A11" s="73" t="s">
        <v>104</v>
      </c>
      <c r="B11" s="337">
        <v>9.9900000000000003E-2</v>
      </c>
      <c r="C11" s="338"/>
      <c r="D11" s="94"/>
      <c r="E11" s="170"/>
      <c r="F11" s="125"/>
      <c r="G11" s="125"/>
      <c r="H11" s="125"/>
      <c r="I11" s="126"/>
    </row>
    <row r="12" spans="1:10">
      <c r="A12" s="47" t="s">
        <v>23</v>
      </c>
      <c r="B12" s="341">
        <v>84</v>
      </c>
      <c r="C12" s="342"/>
      <c r="D12" s="94"/>
      <c r="E12" s="170"/>
      <c r="F12" s="125"/>
      <c r="G12" s="125"/>
      <c r="H12" s="125"/>
      <c r="I12" s="126"/>
    </row>
    <row r="13" spans="1:10">
      <c r="A13" s="73" t="s">
        <v>105</v>
      </c>
      <c r="B13" s="339">
        <f>B12/12</f>
        <v>7</v>
      </c>
      <c r="C13" s="340"/>
      <c r="D13" s="97"/>
      <c r="E13" s="171"/>
      <c r="F13" s="125"/>
      <c r="G13" s="125"/>
      <c r="H13" s="125"/>
      <c r="I13" s="126"/>
      <c r="J13" s="80"/>
    </row>
    <row r="14" spans="1:10">
      <c r="A14" s="73" t="s">
        <v>106</v>
      </c>
      <c r="B14" s="348">
        <f>Proposed_Loan_Monthly_Payment+Credit_Card_Monthly_Payment</f>
        <v>191</v>
      </c>
      <c r="C14" s="349"/>
      <c r="D14" s="95"/>
      <c r="E14" s="172"/>
      <c r="F14" s="128"/>
      <c r="G14" s="128"/>
      <c r="H14" s="128"/>
      <c r="I14" s="129"/>
      <c r="J14" s="80"/>
    </row>
    <row r="15" spans="1:10" ht="3.95" customHeight="1">
      <c r="A15" s="483"/>
      <c r="B15" s="483"/>
      <c r="C15" s="483"/>
      <c r="D15" s="483"/>
      <c r="E15" s="483"/>
      <c r="F15" s="483"/>
      <c r="G15" s="483"/>
      <c r="H15" s="483"/>
      <c r="I15" s="483"/>
      <c r="J15" s="30"/>
    </row>
    <row r="16" spans="1:10">
      <c r="A16" s="345" t="s">
        <v>107</v>
      </c>
      <c r="B16" s="346"/>
      <c r="C16" s="346"/>
      <c r="D16" s="346"/>
      <c r="E16" s="346"/>
      <c r="F16" s="346"/>
      <c r="G16" s="346"/>
      <c r="H16" s="346"/>
      <c r="I16" s="347"/>
      <c r="J16" s="81"/>
    </row>
    <row r="17" spans="1:11">
      <c r="A17" s="345" t="s">
        <v>108</v>
      </c>
      <c r="B17" s="346"/>
      <c r="C17" s="346"/>
      <c r="D17" s="346"/>
      <c r="E17" s="346"/>
      <c r="F17" s="87"/>
      <c r="G17" s="74" t="s">
        <v>109</v>
      </c>
      <c r="H17" s="354" t="s">
        <v>110</v>
      </c>
      <c r="I17" s="311"/>
      <c r="J17" s="72"/>
    </row>
    <row r="18" spans="1:11" ht="12.95" customHeight="1">
      <c r="A18" s="350" t="s">
        <v>111</v>
      </c>
      <c r="B18" s="351"/>
      <c r="C18" s="351"/>
      <c r="D18" s="351"/>
      <c r="E18" s="351"/>
      <c r="F18" s="87"/>
      <c r="G18" s="32">
        <v>0</v>
      </c>
      <c r="H18" s="32">
        <v>0</v>
      </c>
      <c r="I18" s="356" t="str">
        <f>+"Credit Card payments are based on"</f>
        <v>Credit Card payments are based on</v>
      </c>
      <c r="J18" s="80"/>
    </row>
    <row r="19" spans="1:11" ht="12.95" customHeight="1">
      <c r="A19" s="492" t="s">
        <v>112</v>
      </c>
      <c r="B19" s="493"/>
      <c r="C19" s="493"/>
      <c r="D19" s="493"/>
      <c r="E19" s="493"/>
      <c r="F19" s="87"/>
      <c r="G19" s="32">
        <v>0</v>
      </c>
      <c r="H19" s="32">
        <v>0</v>
      </c>
      <c r="I19" s="357"/>
      <c r="J19" s="80"/>
    </row>
    <row r="20" spans="1:11" ht="12.75" customHeight="1">
      <c r="A20" s="333" t="s">
        <v>40</v>
      </c>
      <c r="B20" s="334"/>
      <c r="C20" s="334"/>
      <c r="D20" s="334"/>
      <c r="E20" s="335"/>
      <c r="F20" s="336"/>
      <c r="G20" s="32">
        <v>0</v>
      </c>
      <c r="H20" s="223">
        <f>G20*Credit_Card_Monthly_Payment_Percent</f>
        <v>0</v>
      </c>
      <c r="I20" s="193" t="str">
        <f>+TEXT(Credit_Card_Monthly_Payment_Percent,"##0.0%")</f>
        <v>3.2%</v>
      </c>
      <c r="J20" s="80"/>
    </row>
    <row r="21" spans="1:11">
      <c r="A21" s="355" t="s">
        <v>42</v>
      </c>
      <c r="B21" s="335"/>
      <c r="C21" s="335"/>
      <c r="D21" s="335"/>
      <c r="E21" s="335"/>
      <c r="F21" s="336"/>
      <c r="G21" s="32">
        <v>0</v>
      </c>
      <c r="H21" s="223">
        <f>G21*Credit_Card_Monthly_Payment_Percent_Amigo</f>
        <v>0</v>
      </c>
      <c r="I21" s="193" t="str">
        <f>+TEXT(Credit_Card_Monthly_Payment_Percent_Amigo,"##0.0%")</f>
        <v>3.5%</v>
      </c>
      <c r="J21" s="80"/>
    </row>
    <row r="22" spans="1:11">
      <c r="A22" s="355" t="s">
        <v>44</v>
      </c>
      <c r="B22" s="335"/>
      <c r="C22" s="335"/>
      <c r="D22" s="335"/>
      <c r="E22" s="335"/>
      <c r="F22" s="336"/>
      <c r="G22" s="32">
        <v>0</v>
      </c>
      <c r="H22" s="223">
        <f>G22*Credit_Card_Monthly_Payment_Percent_OtherBanks</f>
        <v>0</v>
      </c>
      <c r="I22" s="193" t="str">
        <f>+TEXT(Credit_Card_Monthly_Payment_Percent_OtherBanks,"##0.00%")</f>
        <v>3.75%</v>
      </c>
      <c r="J22" s="80"/>
    </row>
    <row r="23" spans="1:11" ht="13.15" customHeight="1">
      <c r="A23" s="136" t="s">
        <v>113</v>
      </c>
      <c r="B23" s="213"/>
      <c r="C23" s="213"/>
      <c r="D23" s="213"/>
      <c r="E23" s="211"/>
      <c r="F23" s="212"/>
      <c r="G23" s="32">
        <v>0</v>
      </c>
      <c r="H23" s="223">
        <f>G23*Secured_Credit_Monthly_Percent</f>
        <v>0</v>
      </c>
      <c r="I23" s="193" t="str">
        <f>+"of Credit Limit per month"</f>
        <v>of Credit Limit per month</v>
      </c>
      <c r="J23" s="80"/>
    </row>
    <row r="24" spans="1:11">
      <c r="A24" s="210" t="s">
        <v>114</v>
      </c>
      <c r="B24" s="211"/>
      <c r="C24" s="211"/>
      <c r="D24" s="212"/>
      <c r="E24" s="343"/>
      <c r="F24" s="344"/>
      <c r="G24" s="32">
        <v>0</v>
      </c>
      <c r="H24" s="32">
        <v>0</v>
      </c>
      <c r="I24" s="193"/>
      <c r="J24" s="80"/>
    </row>
    <row r="25" spans="1:11">
      <c r="A25" s="146" t="s">
        <v>115</v>
      </c>
      <c r="B25" s="211"/>
      <c r="C25" s="211"/>
      <c r="D25" s="212"/>
      <c r="E25" s="343"/>
      <c r="F25" s="344"/>
      <c r="G25" s="74"/>
      <c r="H25" s="32">
        <v>0</v>
      </c>
      <c r="I25" s="186"/>
      <c r="J25" s="80"/>
    </row>
    <row r="26" spans="1:11">
      <c r="A26" s="352" t="s">
        <v>49</v>
      </c>
      <c r="B26" s="353"/>
      <c r="C26" s="353"/>
      <c r="D26" s="353"/>
      <c r="E26" s="335"/>
      <c r="F26" s="336"/>
      <c r="G26" s="223">
        <f>SUM(G18:G24)</f>
        <v>0</v>
      </c>
      <c r="H26" s="223">
        <f>SUM(H18:H25)</f>
        <v>0</v>
      </c>
      <c r="I26" s="187"/>
      <c r="J26" s="80"/>
    </row>
    <row r="27" spans="1:11" ht="3.95" customHeight="1">
      <c r="A27" s="494"/>
      <c r="B27" s="494"/>
      <c r="C27" s="494"/>
      <c r="D27" s="494"/>
      <c r="E27" s="494"/>
      <c r="F27" s="494"/>
      <c r="G27" s="494"/>
      <c r="H27" s="494"/>
      <c r="I27" s="495"/>
      <c r="J27" s="30"/>
    </row>
    <row r="28" spans="1:11" ht="39.6">
      <c r="A28" s="39" t="s">
        <v>116</v>
      </c>
      <c r="B28" s="82" t="s">
        <v>117</v>
      </c>
      <c r="C28" s="82" t="s">
        <v>118</v>
      </c>
      <c r="D28" s="82" t="s">
        <v>119</v>
      </c>
      <c r="E28" s="40" t="s">
        <v>120</v>
      </c>
      <c r="F28" s="40" t="s">
        <v>121</v>
      </c>
      <c r="G28" s="40" t="s">
        <v>122</v>
      </c>
      <c r="H28" s="40" t="s">
        <v>123</v>
      </c>
      <c r="I28" s="40" t="s">
        <v>124</v>
      </c>
      <c r="J28" s="82" t="s">
        <v>125</v>
      </c>
      <c r="K28" s="30"/>
    </row>
    <row r="29" spans="1:11">
      <c r="A29" s="216" t="s">
        <v>126</v>
      </c>
      <c r="B29" s="32">
        <v>122000</v>
      </c>
      <c r="C29" s="124" t="s">
        <v>127</v>
      </c>
      <c r="D29" s="32">
        <v>0</v>
      </c>
      <c r="E29" s="223">
        <f>Applicant1_GAIncome</f>
        <v>122000</v>
      </c>
      <c r="F29" s="32">
        <v>0</v>
      </c>
      <c r="G29" s="223">
        <f>CalculationsReference!B25</f>
        <v>122000</v>
      </c>
      <c r="H29" s="223">
        <f>CalculationsReference!B41</f>
        <v>29828</v>
      </c>
      <c r="I29" s="223">
        <f>CalculationsReference!B42</f>
        <v>92172</v>
      </c>
      <c r="J29" s="223">
        <f>CalculationsReference!B$43</f>
        <v>7681</v>
      </c>
    </row>
    <row r="30" spans="1:11">
      <c r="A30" s="216" t="s">
        <v>128</v>
      </c>
      <c r="B30" s="32">
        <v>0</v>
      </c>
      <c r="C30" s="124"/>
      <c r="D30" s="32">
        <v>0</v>
      </c>
      <c r="E30" s="223">
        <f>Applicant2_GAIncome</f>
        <v>0</v>
      </c>
      <c r="F30" s="32">
        <v>0</v>
      </c>
      <c r="G30" s="223">
        <f>CalculationsReference!C25</f>
        <v>0</v>
      </c>
      <c r="H30" s="223">
        <f>CalculationsReference!C41</f>
        <v>0</v>
      </c>
      <c r="I30" s="223">
        <f>CalculationsReference!C42</f>
        <v>0</v>
      </c>
      <c r="J30" s="223">
        <f>CalculationsReference!C$43</f>
        <v>0</v>
      </c>
    </row>
    <row r="31" spans="1:11">
      <c r="A31" s="216" t="s">
        <v>129</v>
      </c>
      <c r="B31" s="32">
        <v>0</v>
      </c>
      <c r="C31" s="224"/>
      <c r="D31" s="32">
        <v>0</v>
      </c>
      <c r="E31" s="223">
        <f>Applicant3_GAIncome</f>
        <v>0</v>
      </c>
      <c r="F31" s="32">
        <v>0</v>
      </c>
      <c r="G31" s="223">
        <f>CalculationsReference!D25</f>
        <v>0</v>
      </c>
      <c r="H31" s="223">
        <f>CalculationsReference!D41</f>
        <v>0</v>
      </c>
      <c r="I31" s="223">
        <f>CalculationsReference!D42</f>
        <v>0</v>
      </c>
      <c r="J31" s="223">
        <f>CalculationsReference!D$43</f>
        <v>0</v>
      </c>
    </row>
    <row r="32" spans="1:11">
      <c r="A32" s="216" t="s">
        <v>130</v>
      </c>
      <c r="B32" s="32">
        <v>0</v>
      </c>
      <c r="C32" s="224"/>
      <c r="D32" s="32">
        <v>0</v>
      </c>
      <c r="E32" s="223">
        <f>Applicant4_GAIncome</f>
        <v>0</v>
      </c>
      <c r="F32" s="32">
        <v>0</v>
      </c>
      <c r="G32" s="223">
        <f>CalculationsReference!E25</f>
        <v>0</v>
      </c>
      <c r="H32" s="223">
        <f>CalculationsReference!E41</f>
        <v>0</v>
      </c>
      <c r="I32" s="223">
        <f>CalculationsReference!E42</f>
        <v>0</v>
      </c>
      <c r="J32" s="223">
        <f>CalculationsReference!E$43</f>
        <v>0</v>
      </c>
    </row>
    <row r="33" spans="1:10">
      <c r="A33" s="216" t="s">
        <v>131</v>
      </c>
      <c r="B33" s="32">
        <v>0</v>
      </c>
      <c r="C33" s="124"/>
      <c r="D33" s="32">
        <v>0</v>
      </c>
      <c r="E33" s="223">
        <f>Applicant5_GAIncome</f>
        <v>0</v>
      </c>
      <c r="F33" s="32">
        <v>0</v>
      </c>
      <c r="G33" s="223">
        <f>CalculationsReference!F25</f>
        <v>0</v>
      </c>
      <c r="H33" s="223">
        <f>CalculationsReference!F41</f>
        <v>0</v>
      </c>
      <c r="I33" s="223">
        <f>CalculationsReference!F42</f>
        <v>0</v>
      </c>
      <c r="J33" s="223">
        <f>CalculationsReference!F$43</f>
        <v>0</v>
      </c>
    </row>
    <row r="34" spans="1:10">
      <c r="A34" s="216" t="s">
        <v>132</v>
      </c>
      <c r="B34" s="32">
        <v>0</v>
      </c>
      <c r="C34" s="224"/>
      <c r="D34" s="32">
        <v>0</v>
      </c>
      <c r="E34" s="223">
        <f>Applicant6_GAIncome</f>
        <v>0</v>
      </c>
      <c r="F34" s="32">
        <v>0</v>
      </c>
      <c r="G34" s="223">
        <f>CalculationsReference!G25</f>
        <v>0</v>
      </c>
      <c r="H34" s="223">
        <f>CalculationsReference!G41</f>
        <v>0</v>
      </c>
      <c r="I34" s="223">
        <f>CalculationsReference!G42</f>
        <v>0</v>
      </c>
      <c r="J34" s="223">
        <f>CalculationsReference!G$43</f>
        <v>0</v>
      </c>
    </row>
    <row r="35" spans="1:10" ht="39.6">
      <c r="A35" s="85" t="s">
        <v>133</v>
      </c>
      <c r="B35" s="225">
        <v>0</v>
      </c>
      <c r="C35" s="93" t="str">
        <f>CalculationsReference!H4</f>
        <v>Fortnightly</v>
      </c>
      <c r="D35" s="209"/>
      <c r="E35" s="209"/>
      <c r="F35" s="209"/>
      <c r="G35" s="209"/>
      <c r="H35" s="209"/>
      <c r="I35" s="226">
        <f>Family_Payments_Amount*26</f>
        <v>0</v>
      </c>
      <c r="J35" s="226">
        <f>I35/12</f>
        <v>0</v>
      </c>
    </row>
    <row r="36" spans="1:10">
      <c r="A36" s="492" t="s">
        <v>134</v>
      </c>
      <c r="B36" s="493"/>
      <c r="C36" s="493"/>
      <c r="D36" s="496"/>
      <c r="E36" s="32">
        <v>0</v>
      </c>
      <c r="F36" s="227">
        <v>0</v>
      </c>
      <c r="G36" s="228">
        <f>CalculationsReference!H25</f>
        <v>0</v>
      </c>
      <c r="H36" s="229">
        <f>CalculationsReference!H39</f>
        <v>0</v>
      </c>
      <c r="I36" s="228">
        <f>CalculationsReference!H42</f>
        <v>0</v>
      </c>
      <c r="J36" s="228">
        <f>CalculationsReference!H$43</f>
        <v>0</v>
      </c>
    </row>
    <row r="37" spans="1:10">
      <c r="A37" s="492" t="s">
        <v>135</v>
      </c>
      <c r="B37" s="493"/>
      <c r="C37" s="493"/>
      <c r="D37" s="496"/>
      <c r="E37" s="230">
        <v>0</v>
      </c>
      <c r="F37" s="83"/>
      <c r="G37" s="84"/>
      <c r="H37" s="84"/>
      <c r="I37" s="84"/>
      <c r="J37" s="75"/>
    </row>
    <row r="38" spans="1:10">
      <c r="A38" s="492" t="s">
        <v>136</v>
      </c>
      <c r="B38" s="493"/>
      <c r="C38" s="493"/>
      <c r="D38" s="496"/>
      <c r="E38" s="228">
        <f>IF(Company_NPBT_GAIncomePY=0,Company_NPBT_GAIncomeMRY,IF((Company_NPBT_GAIncomeMRY/Company_NPBT_GAIncomePY)&lt;=1.2,Company_NPBT_GAIncomeMRY,Company_NPBT_GAIncomePY*1.2))</f>
        <v>0</v>
      </c>
      <c r="F38" s="231" t="str">
        <f>IF(Error_Count&gt;0,VLOOKUP(1,Error_Table,2,FALSE),"")</f>
        <v/>
      </c>
      <c r="G38" s="231"/>
      <c r="H38" s="231"/>
      <c r="I38" s="231"/>
      <c r="J38" s="232"/>
    </row>
    <row r="39" spans="1:10">
      <c r="A39" s="145" t="s">
        <v>137</v>
      </c>
      <c r="B39" s="209"/>
      <c r="C39" s="209"/>
      <c r="D39" s="209"/>
      <c r="E39" s="209"/>
      <c r="F39" s="209"/>
      <c r="G39" s="209"/>
      <c r="H39" s="209"/>
      <c r="I39" s="32">
        <v>0</v>
      </c>
      <c r="J39" s="92"/>
    </row>
    <row r="40" spans="1:10">
      <c r="A40" s="355" t="s">
        <v>138</v>
      </c>
      <c r="B40" s="335"/>
      <c r="C40" s="335"/>
      <c r="D40" s="336"/>
      <c r="E40" s="233">
        <f>SUM(E29:E34,E38,I35)</f>
        <v>122000</v>
      </c>
      <c r="F40" s="223">
        <f>SUM(F29:F36)</f>
        <v>0</v>
      </c>
      <c r="G40" s="223">
        <f>SUM(G29:G36,I35)</f>
        <v>122000</v>
      </c>
      <c r="H40" s="223">
        <f>SUM(H29:H36)</f>
        <v>29828</v>
      </c>
      <c r="I40" s="223">
        <f>SUM(I29:I39)</f>
        <v>92172</v>
      </c>
      <c r="J40" s="223">
        <f>I40/12</f>
        <v>7681</v>
      </c>
    </row>
    <row r="41" spans="1:10" ht="3.95" customHeight="1">
      <c r="E41" s="50"/>
      <c r="F41" s="50"/>
      <c r="G41" s="50"/>
      <c r="H41" s="50"/>
      <c r="I41" s="50"/>
    </row>
    <row r="42" spans="1:10">
      <c r="A42" s="497" t="s">
        <v>139</v>
      </c>
      <c r="B42" s="498"/>
      <c r="C42" s="498"/>
      <c r="D42" s="499"/>
      <c r="E42" s="88" t="s">
        <v>140</v>
      </c>
      <c r="F42" s="89"/>
      <c r="G42" s="90"/>
      <c r="H42" s="90"/>
      <c r="I42" s="91"/>
      <c r="J42" s="87" t="s">
        <v>141</v>
      </c>
    </row>
    <row r="43" spans="1:10">
      <c r="A43" s="492" t="s">
        <v>27</v>
      </c>
      <c r="B43" s="493"/>
      <c r="C43" s="493"/>
      <c r="D43" s="496"/>
      <c r="E43" s="234">
        <f>Calculated_Living_Expenses</f>
        <v>53748</v>
      </c>
      <c r="F43" s="360"/>
      <c r="G43" s="361"/>
      <c r="H43" s="361"/>
      <c r="I43" s="362"/>
      <c r="J43" s="235">
        <f>E43/12</f>
        <v>4479</v>
      </c>
    </row>
    <row r="44" spans="1:10">
      <c r="A44" s="492" t="s">
        <v>30</v>
      </c>
      <c r="B44" s="493"/>
      <c r="C44" s="493"/>
      <c r="D44" s="496"/>
      <c r="E44" s="230"/>
      <c r="F44" s="360"/>
      <c r="G44" s="361"/>
      <c r="H44" s="361"/>
      <c r="I44" s="362"/>
      <c r="J44" s="235">
        <f t="shared" ref="J44:J45" si="0">E44/12</f>
        <v>0</v>
      </c>
    </row>
    <row r="45" spans="1:10">
      <c r="A45" s="492" t="s">
        <v>142</v>
      </c>
      <c r="B45" s="493"/>
      <c r="C45" s="493"/>
      <c r="D45" s="496"/>
      <c r="E45" s="236">
        <f>MAX(Calculated_Living_Expenses,Living_Expenses_Override)</f>
        <v>53748</v>
      </c>
      <c r="F45" s="363"/>
      <c r="G45" s="364"/>
      <c r="H45" s="364"/>
      <c r="I45" s="365"/>
      <c r="J45" s="233">
        <f t="shared" si="0"/>
        <v>4479</v>
      </c>
    </row>
    <row r="46" spans="1:10" ht="3.95" customHeight="1">
      <c r="A46" s="30"/>
      <c r="B46" s="30"/>
      <c r="C46" s="30"/>
      <c r="D46" s="30"/>
      <c r="E46" s="30"/>
      <c r="F46" s="30"/>
      <c r="I46" s="30"/>
      <c r="J46" s="30"/>
    </row>
    <row r="47" spans="1:10">
      <c r="A47" s="88" t="s">
        <v>143</v>
      </c>
      <c r="B47" s="86"/>
      <c r="C47" s="86"/>
      <c r="D47" s="86"/>
      <c r="E47" s="86"/>
      <c r="F47" s="87"/>
      <c r="G47" s="354" t="str">
        <f>Maximum_Loan_Amount_Text</f>
        <v>Maximum Loan Amount</v>
      </c>
      <c r="H47" s="311"/>
      <c r="I47" s="49"/>
      <c r="J47" s="49"/>
    </row>
    <row r="48" spans="1:10">
      <c r="A48" s="367" t="s">
        <v>69</v>
      </c>
      <c r="B48" s="367"/>
      <c r="C48" s="367"/>
      <c r="D48" s="367"/>
      <c r="E48" s="367"/>
      <c r="F48" s="223">
        <f>Total_Net_Annual_Income</f>
        <v>92172</v>
      </c>
      <c r="G48" s="377">
        <f>MaximumLoanAmount</f>
        <v>178000</v>
      </c>
      <c r="H48" s="378"/>
      <c r="I48" s="205" t="s">
        <v>144</v>
      </c>
      <c r="J48" s="207">
        <f>(Loan_Amount/SUM(E29:F34,I35))</f>
        <v>9.4262295081967207E-2</v>
      </c>
    </row>
    <row r="49" spans="1:11" ht="13.9" thickBot="1">
      <c r="A49" s="350" t="s">
        <v>145</v>
      </c>
      <c r="B49" s="351"/>
      <c r="C49" s="351"/>
      <c r="D49" s="351"/>
      <c r="E49" s="336"/>
      <c r="F49" s="223">
        <f>Applicable_Living_Expenses</f>
        <v>53748</v>
      </c>
      <c r="I49" s="205" t="s">
        <v>146</v>
      </c>
      <c r="J49" s="208">
        <f>SUM(Loan_Amount,Other_Loans_OO_Amount,Other_Loans_Inv_Amount,Other_CreditCard_Limits,G21,G22,G23,Other_Commits_Amount)/SUM(E29:F34,I35)</f>
        <v>9.4262295081967207E-2</v>
      </c>
      <c r="K49" s="34"/>
    </row>
    <row r="50" spans="1:11" ht="18" thickBot="1">
      <c r="A50" s="350" t="s">
        <v>147</v>
      </c>
      <c r="B50" s="351"/>
      <c r="C50" s="351"/>
      <c r="D50" s="351"/>
      <c r="E50" s="336"/>
      <c r="F50" s="223">
        <f>Other_Commits_Total_Monthly_Payment*12</f>
        <v>0</v>
      </c>
      <c r="I50" s="206" t="s">
        <v>148</v>
      </c>
      <c r="J50" s="204" t="str">
        <f>IF(J49&gt;6,"Yes","No")</f>
        <v>No</v>
      </c>
    </row>
    <row r="51" spans="1:11" ht="12.95" customHeight="1">
      <c r="A51" s="366" t="s">
        <v>149</v>
      </c>
      <c r="B51" s="366"/>
      <c r="C51" s="366"/>
      <c r="D51" s="366"/>
      <c r="E51" s="367"/>
      <c r="F51" s="223">
        <f>ARA</f>
        <v>38424</v>
      </c>
      <c r="G51" s="368" t="s">
        <v>150</v>
      </c>
      <c r="H51" s="369"/>
      <c r="I51" s="369"/>
      <c r="J51" s="370"/>
    </row>
    <row r="52" spans="1:11" ht="12.95" customHeight="1">
      <c r="A52" s="355" t="str">
        <f>"Proposed Loan Payments @ "&amp;TEXT(CalculationsReference!G9,"##0.00%")</f>
        <v>Proposed Loan Payments @ 12.49%</v>
      </c>
      <c r="B52" s="335"/>
      <c r="C52" s="335"/>
      <c r="D52" s="335"/>
      <c r="E52" s="336"/>
      <c r="F52" s="223">
        <f>NSR_Rate_Monthly_Payment*12</f>
        <v>2484</v>
      </c>
      <c r="G52" s="371"/>
      <c r="H52" s="372"/>
      <c r="I52" s="372"/>
      <c r="J52" s="373"/>
    </row>
    <row r="53" spans="1:11">
      <c r="A53" s="358" t="s">
        <v>151</v>
      </c>
      <c r="B53" s="358"/>
      <c r="C53" s="358"/>
      <c r="D53" s="358"/>
      <c r="E53" s="359"/>
      <c r="F53" s="223">
        <f>TOTAL_COSTS-F52</f>
        <v>35940</v>
      </c>
      <c r="G53" s="371"/>
      <c r="H53" s="372"/>
      <c r="I53" s="372"/>
      <c r="J53" s="373"/>
    </row>
    <row r="54" spans="1:11">
      <c r="A54" s="47" t="s">
        <v>152</v>
      </c>
      <c r="B54" s="78"/>
      <c r="C54" s="78"/>
      <c r="D54" s="78"/>
      <c r="E54" s="45"/>
      <c r="F54" s="46">
        <f>ARA_MONTHLY</f>
        <v>2995</v>
      </c>
      <c r="G54" s="374"/>
      <c r="H54" s="375"/>
      <c r="I54" s="375"/>
      <c r="J54" s="376"/>
    </row>
    <row r="55" spans="1:11" ht="4.7" customHeight="1"/>
    <row r="56" spans="1:11"/>
    <row r="57" spans="1:11"/>
    <row r="58" spans="1:11"/>
  </sheetData>
  <sheetProtection algorithmName="SHA-512" hashValue="OZH24/b3uwnEOtDWRT6ugIKlC9MRdrSfF2o7+qS2KPMSFtToCTpe0eVwgIJe5WmfF8Q0t7FFyE6C+FcGuQBRQQ==" saltValue="uGss4TwK+A5ygGt8tQD5kA==" spinCount="100000" sheet="1" selectLockedCells="1"/>
  <mergeCells count="53">
    <mergeCell ref="B7:C7"/>
    <mergeCell ref="B8:C8"/>
    <mergeCell ref="B6:C6"/>
    <mergeCell ref="B9:C9"/>
    <mergeCell ref="B10:C10"/>
    <mergeCell ref="J1:J2"/>
    <mergeCell ref="A5:I5"/>
    <mergeCell ref="C1:H1"/>
    <mergeCell ref="C2:H2"/>
    <mergeCell ref="B4:F4"/>
    <mergeCell ref="I1:I2"/>
    <mergeCell ref="A3:I3"/>
    <mergeCell ref="A1:A2"/>
    <mergeCell ref="A44:D44"/>
    <mergeCell ref="A53:E53"/>
    <mergeCell ref="A52:E52"/>
    <mergeCell ref="A50:E50"/>
    <mergeCell ref="F43:I43"/>
    <mergeCell ref="F44:I44"/>
    <mergeCell ref="F45:I45"/>
    <mergeCell ref="A49:E49"/>
    <mergeCell ref="A51:E51"/>
    <mergeCell ref="G51:J54"/>
    <mergeCell ref="A48:E48"/>
    <mergeCell ref="G48:H48"/>
    <mergeCell ref="G47:H47"/>
    <mergeCell ref="A45:D45"/>
    <mergeCell ref="A37:D37"/>
    <mergeCell ref="A38:D38"/>
    <mergeCell ref="A40:D40"/>
    <mergeCell ref="A42:D42"/>
    <mergeCell ref="A43:D43"/>
    <mergeCell ref="E25:F25"/>
    <mergeCell ref="A36:D36"/>
    <mergeCell ref="A16:I16"/>
    <mergeCell ref="A15:I15"/>
    <mergeCell ref="B14:C14"/>
    <mergeCell ref="A27:I27"/>
    <mergeCell ref="A17:E17"/>
    <mergeCell ref="A19:E19"/>
    <mergeCell ref="A18:E18"/>
    <mergeCell ref="E24:F24"/>
    <mergeCell ref="A26:F26"/>
    <mergeCell ref="H17:I17"/>
    <mergeCell ref="A21:F21"/>
    <mergeCell ref="A22:F22"/>
    <mergeCell ref="I18:I19"/>
    <mergeCell ref="E8:H8"/>
    <mergeCell ref="E10:H10"/>
    <mergeCell ref="A20:F20"/>
    <mergeCell ref="B11:C11"/>
    <mergeCell ref="B13:C13"/>
    <mergeCell ref="B12:C12"/>
  </mergeCells>
  <phoneticPr fontId="0" type="noConversion"/>
  <conditionalFormatting sqref="F54">
    <cfRule type="expression" dxfId="5" priority="3" stopIfTrue="1">
      <formula>IF(ARA_Test_Result=1,TRUE,FALSE)</formula>
    </cfRule>
    <cfRule type="expression" dxfId="4" priority="4" stopIfTrue="1">
      <formula>IF(ARA_Test_Result=0,TRUE,FALSE)</formula>
    </cfRule>
  </conditionalFormatting>
  <conditionalFormatting sqref="J50">
    <cfRule type="containsText" dxfId="3" priority="1" operator="containsText" text="No">
      <formula>NOT(ISERROR(SEARCH("No",J50)))</formula>
    </cfRule>
    <cfRule type="containsText" dxfId="2" priority="2" operator="containsText" text="Yes">
      <formula>NOT(ISERROR(SEARCH("Yes",J50)))</formula>
    </cfRule>
  </conditionalFormatting>
  <dataValidations xWindow="471" yWindow="589" count="5">
    <dataValidation type="list" allowBlank="1" showInputMessage="1" showErrorMessage="1" sqref="C29:C34" xr:uid="{00000000-0002-0000-0100-000000000000}">
      <formula1>Payment_Frequency</formula1>
    </dataValidation>
    <dataValidation type="list" allowBlank="1" showInputMessage="1" showErrorMessage="1" sqref="B6:C6" xr:uid="{00000000-0002-0000-0100-000001000000}">
      <formula1>Applicant_Type</formula1>
    </dataValidation>
    <dataValidation type="list" allowBlank="1" showInputMessage="1" showErrorMessage="1" prompt="Select the original loan term in months of the Other 'Owner Occupied' Mortgage Loan." sqref="F18" xr:uid="{00000000-0002-0000-0100-000002000000}">
      <formula1>Other_Mtg_OO_LoanTerm</formula1>
    </dataValidation>
    <dataValidation type="list" allowBlank="1" showInputMessage="1" showErrorMessage="1" prompt="Select the original loan term in months of the Other 'Investment' Mortgage Loan." sqref="F19" xr:uid="{00000000-0002-0000-0100-000003000000}">
      <formula1>Other_Mtg_Inv_LoanTerm</formula1>
    </dataValidation>
    <dataValidation type="list" allowBlank="1" showInputMessage="1" showErrorMessage="1" sqref="D9" xr:uid="{00000000-0002-0000-0100-000004000000}">
      <formula1>Credit_Card_Brand</formula1>
    </dataValidation>
  </dataValidations>
  <printOptions horizontalCentered="1" verticalCentered="1"/>
  <pageMargins left="0.74803149606299213" right="0.74803149606299213" top="0.47244094488188981" bottom="0.47244094488188981" header="0.31496062992125984" footer="0.31496062992125984"/>
  <pageSetup paperSize="9" scale="70"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zoomScale="90" zoomScaleNormal="100" zoomScaleSheetLayoutView="90" workbookViewId="0">
      <selection activeCell="I18" sqref="I18:I19"/>
    </sheetView>
  </sheetViews>
  <sheetFormatPr defaultColWidth="0" defaultRowHeight="12.95" customHeight="1" zeroHeight="1"/>
  <cols>
    <col min="1" max="1" width="23.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388"/>
      <c r="B1" s="76"/>
      <c r="C1" s="381" t="s">
        <v>95</v>
      </c>
      <c r="D1" s="381"/>
      <c r="E1" s="381"/>
      <c r="F1" s="381"/>
      <c r="G1" s="381"/>
      <c r="H1" s="381"/>
      <c r="I1" s="386"/>
      <c r="J1" s="379" t="str">
        <f>Main!$J$1</f>
        <v>CFCU V13.18 - Aug 25</v>
      </c>
    </row>
    <row r="2" spans="1:10" ht="30" customHeight="1">
      <c r="A2" s="389"/>
      <c r="B2" s="77"/>
      <c r="C2" s="382" t="s">
        <v>97</v>
      </c>
      <c r="D2" s="382"/>
      <c r="E2" s="382"/>
      <c r="F2" s="382"/>
      <c r="G2" s="382"/>
      <c r="H2" s="382"/>
      <c r="I2" s="387"/>
      <c r="J2" s="380"/>
    </row>
    <row r="3" spans="1:10" ht="3.95" customHeight="1">
      <c r="A3" s="500"/>
      <c r="B3" s="501"/>
      <c r="C3" s="501"/>
      <c r="D3" s="501"/>
      <c r="E3" s="501"/>
      <c r="F3" s="501"/>
      <c r="G3" s="501"/>
      <c r="H3" s="501"/>
      <c r="I3" s="502"/>
    </row>
    <row r="4" spans="1:10" ht="13.15">
      <c r="A4" s="139" t="str">
        <f>Main!A4</f>
        <v>Applicant Name</v>
      </c>
      <c r="B4" s="396">
        <f>Main!B4</f>
        <v>0</v>
      </c>
      <c r="C4" s="397"/>
      <c r="D4" s="397"/>
      <c r="E4" s="397"/>
      <c r="F4" s="398"/>
      <c r="G4" s="120"/>
      <c r="H4" s="120"/>
      <c r="I4" s="237">
        <f ca="1">Main!I4</f>
        <v>45954.570977546296</v>
      </c>
      <c r="J4" s="221"/>
    </row>
    <row r="5" spans="1:10" ht="3.95" customHeight="1">
      <c r="A5" s="503"/>
      <c r="B5" s="504"/>
      <c r="C5" s="504"/>
      <c r="D5" s="504"/>
      <c r="E5" s="504"/>
      <c r="F5" s="504"/>
      <c r="G5" s="504"/>
      <c r="H5" s="504"/>
      <c r="I5" s="505"/>
    </row>
    <row r="6" spans="1:10" ht="13.15">
      <c r="A6" s="139" t="str">
        <f>Main!A6</f>
        <v>Borrower Type</v>
      </c>
      <c r="B6" s="399" t="str">
        <f>Main!B6</f>
        <v>Couple 2 Child</v>
      </c>
      <c r="C6" s="399"/>
      <c r="D6" s="119"/>
      <c r="E6" s="174"/>
      <c r="F6" s="141"/>
      <c r="G6" s="120"/>
      <c r="H6" s="120"/>
      <c r="I6" s="238"/>
      <c r="J6" s="221"/>
    </row>
    <row r="7" spans="1:10" ht="13.15">
      <c r="A7" s="139" t="str">
        <f>Main!A7</f>
        <v>Loan - Owner Occupied</v>
      </c>
      <c r="B7" s="400">
        <f>Main!B7</f>
        <v>11500</v>
      </c>
      <c r="C7" s="401"/>
      <c r="D7" s="121"/>
      <c r="E7" s="175"/>
      <c r="F7" s="141"/>
      <c r="G7" s="504"/>
      <c r="H7" s="504"/>
      <c r="I7" s="505"/>
    </row>
    <row r="8" spans="1:10" ht="13.15">
      <c r="A8" s="139" t="str">
        <f>Main!A8</f>
        <v>Loan - Investment</v>
      </c>
      <c r="B8" s="400">
        <f>Main!B8</f>
        <v>0</v>
      </c>
      <c r="C8" s="401"/>
      <c r="D8" s="121"/>
      <c r="E8" s="175"/>
      <c r="F8" s="141"/>
      <c r="G8" s="504"/>
      <c r="H8" s="504"/>
      <c r="I8" s="505"/>
    </row>
    <row r="9" spans="1:10" ht="13.15">
      <c r="A9" s="139" t="str">
        <f>Main!A9</f>
        <v>Credit Card - Limit</v>
      </c>
      <c r="B9" s="400">
        <f>Main!B9</f>
        <v>0</v>
      </c>
      <c r="C9" s="401"/>
      <c r="D9" s="196" t="str">
        <f>Main!D9</f>
        <v>CFCU / Easystreet</v>
      </c>
      <c r="E9" s="175"/>
      <c r="F9" s="141"/>
      <c r="G9" s="504"/>
      <c r="H9" s="504"/>
      <c r="I9" s="505"/>
    </row>
    <row r="10" spans="1:10" ht="12.95" customHeight="1">
      <c r="A10" s="139" t="str">
        <f>Main!A10</f>
        <v>Total Loan Amount</v>
      </c>
      <c r="B10" s="348">
        <f>Main!B10</f>
        <v>11500</v>
      </c>
      <c r="C10" s="402"/>
      <c r="D10" s="121"/>
      <c r="E10" s="175"/>
      <c r="F10" s="141"/>
      <c r="G10" s="504"/>
      <c r="H10" s="504"/>
      <c r="I10" s="505"/>
    </row>
    <row r="11" spans="1:10" ht="13.15">
      <c r="A11" s="139" t="str">
        <f>Main!A11</f>
        <v>Loan Interest Rate (p.a.)</v>
      </c>
      <c r="B11" s="403">
        <f>Main!B11</f>
        <v>9.9900000000000003E-2</v>
      </c>
      <c r="C11" s="404"/>
      <c r="D11" s="121"/>
      <c r="E11" s="175"/>
      <c r="F11" s="141"/>
      <c r="G11" s="504"/>
      <c r="H11" s="504"/>
      <c r="I11" s="505"/>
    </row>
    <row r="12" spans="1:10" ht="13.15">
      <c r="A12" s="139" t="str">
        <f>Main!A12</f>
        <v>Loan Term (Months)</v>
      </c>
      <c r="B12" s="410">
        <f>Main!B12</f>
        <v>84</v>
      </c>
      <c r="C12" s="411"/>
      <c r="D12" s="121"/>
      <c r="E12" s="175"/>
      <c r="F12" s="141"/>
      <c r="G12" s="141"/>
      <c r="H12" s="141"/>
      <c r="I12" s="142"/>
    </row>
    <row r="13" spans="1:10" ht="12.95" customHeight="1">
      <c r="A13" s="139" t="str">
        <f>Main!A13</f>
        <v>Loan Term (Years)</v>
      </c>
      <c r="B13" s="339">
        <f>Main!B13</f>
        <v>7</v>
      </c>
      <c r="C13" s="405"/>
      <c r="D13" s="122"/>
      <c r="E13" s="176"/>
      <c r="F13" s="141"/>
      <c r="G13" s="406"/>
      <c r="H13" s="406"/>
      <c r="I13" s="407"/>
      <c r="J13" s="80"/>
    </row>
    <row r="14" spans="1:10" ht="12.95" customHeight="1">
      <c r="A14" s="139" t="str">
        <f>Main!A14</f>
        <v>Total Monthly Payment</v>
      </c>
      <c r="B14" s="348">
        <f>Main!B14</f>
        <v>191</v>
      </c>
      <c r="C14" s="402"/>
      <c r="D14" s="123"/>
      <c r="E14" s="177"/>
      <c r="F14" s="130"/>
      <c r="G14" s="408"/>
      <c r="H14" s="408"/>
      <c r="I14" s="409"/>
      <c r="J14" s="80"/>
    </row>
    <row r="15" spans="1:10" ht="3.95" customHeight="1">
      <c r="A15" s="483"/>
      <c r="B15" s="483"/>
      <c r="C15" s="483"/>
      <c r="D15" s="483"/>
      <c r="E15" s="483"/>
      <c r="F15" s="483"/>
      <c r="G15" s="483"/>
      <c r="H15" s="483"/>
      <c r="I15" s="483"/>
      <c r="J15" s="30"/>
    </row>
    <row r="16" spans="1:10" ht="13.15">
      <c r="A16" s="393" t="s">
        <v>107</v>
      </c>
      <c r="B16" s="394"/>
      <c r="C16" s="394"/>
      <c r="D16" s="394"/>
      <c r="E16" s="394"/>
      <c r="F16" s="394"/>
      <c r="G16" s="394"/>
      <c r="H16" s="394"/>
      <c r="I16" s="395"/>
      <c r="J16" s="81"/>
    </row>
    <row r="17" spans="1:11" ht="13.15">
      <c r="A17" s="506" t="s">
        <v>108</v>
      </c>
      <c r="B17" s="507"/>
      <c r="C17" s="507"/>
      <c r="D17" s="507"/>
      <c r="E17" s="507"/>
      <c r="F17" s="103"/>
      <c r="G17" s="143" t="s">
        <v>109</v>
      </c>
      <c r="H17" s="412" t="s">
        <v>110</v>
      </c>
      <c r="I17" s="413"/>
      <c r="J17" s="72"/>
    </row>
    <row r="18" spans="1:11" ht="12.95" customHeight="1">
      <c r="A18" s="508" t="s">
        <v>111</v>
      </c>
      <c r="B18" s="509"/>
      <c r="C18" s="509"/>
      <c r="D18" s="509"/>
      <c r="E18" s="509"/>
      <c r="F18" s="103"/>
      <c r="G18" s="48">
        <f>Main!G18</f>
        <v>0</v>
      </c>
      <c r="H18" s="48">
        <f>Main!H18</f>
        <v>0</v>
      </c>
      <c r="I18" s="424" t="s">
        <v>153</v>
      </c>
      <c r="J18" s="80"/>
    </row>
    <row r="19" spans="1:11" ht="12.95" customHeight="1">
      <c r="A19" s="510" t="s">
        <v>112</v>
      </c>
      <c r="B19" s="511"/>
      <c r="C19" s="511"/>
      <c r="D19" s="511"/>
      <c r="E19" s="511"/>
      <c r="F19" s="103"/>
      <c r="G19" s="48">
        <f>Main!G19</f>
        <v>0</v>
      </c>
      <c r="H19" s="48">
        <f>Main!H19</f>
        <v>0</v>
      </c>
      <c r="I19" s="425"/>
      <c r="J19" s="80"/>
    </row>
    <row r="20" spans="1:11" ht="13.15">
      <c r="A20" s="414" t="s">
        <v>40</v>
      </c>
      <c r="B20" s="415"/>
      <c r="C20" s="415"/>
      <c r="D20" s="415"/>
      <c r="E20" s="416"/>
      <c r="F20" s="417"/>
      <c r="G20" s="48">
        <f>Main!G20</f>
        <v>0</v>
      </c>
      <c r="H20" s="223">
        <f>Main!H20</f>
        <v>0</v>
      </c>
      <c r="I20" s="194" t="s">
        <v>154</v>
      </c>
      <c r="J20" s="80"/>
    </row>
    <row r="21" spans="1:11" ht="13.15">
      <c r="A21" s="414" t="s">
        <v>42</v>
      </c>
      <c r="B21" s="415"/>
      <c r="C21" s="415"/>
      <c r="D21" s="415"/>
      <c r="E21" s="416"/>
      <c r="F21" s="417"/>
      <c r="G21" s="48">
        <f>Main!G21</f>
        <v>0</v>
      </c>
      <c r="H21" s="223">
        <f>Main!H21</f>
        <v>0</v>
      </c>
      <c r="I21" s="194" t="s">
        <v>155</v>
      </c>
      <c r="J21" s="80"/>
    </row>
    <row r="22" spans="1:11" ht="13.15">
      <c r="A22" s="414" t="s">
        <v>44</v>
      </c>
      <c r="B22" s="415"/>
      <c r="C22" s="415"/>
      <c r="D22" s="415"/>
      <c r="E22" s="416"/>
      <c r="F22" s="417"/>
      <c r="G22" s="48">
        <f>Main!G22</f>
        <v>0</v>
      </c>
      <c r="H22" s="223">
        <f>Main!H22</f>
        <v>0</v>
      </c>
      <c r="I22" s="194" t="s">
        <v>156</v>
      </c>
      <c r="J22" s="80"/>
    </row>
    <row r="23" spans="1:11" ht="13.15">
      <c r="A23" s="414" t="s">
        <v>113</v>
      </c>
      <c r="B23" s="415"/>
      <c r="C23" s="415"/>
      <c r="D23" s="415"/>
      <c r="E23" s="416"/>
      <c r="F23" s="417"/>
      <c r="G23" s="48">
        <f>Main!G23</f>
        <v>0</v>
      </c>
      <c r="H23" s="223">
        <f>Main!H23</f>
        <v>0</v>
      </c>
      <c r="I23" s="425" t="s">
        <v>157</v>
      </c>
      <c r="J23" s="80"/>
    </row>
    <row r="24" spans="1:11" ht="13.15">
      <c r="A24" s="423" t="s">
        <v>114</v>
      </c>
      <c r="B24" s="416"/>
      <c r="C24" s="416"/>
      <c r="D24" s="416"/>
      <c r="E24" s="418">
        <f>Main!$E$24</f>
        <v>0</v>
      </c>
      <c r="F24" s="419"/>
      <c r="G24" s="48">
        <f>Main!G24</f>
        <v>0</v>
      </c>
      <c r="H24" s="48">
        <f>Main!H24</f>
        <v>0</v>
      </c>
      <c r="I24" s="425"/>
      <c r="J24" s="80"/>
    </row>
    <row r="25" spans="1:11" ht="13.15">
      <c r="A25" s="239" t="str">
        <f>Main!A25</f>
        <v>Monthly Rent (Specify Address)</v>
      </c>
      <c r="B25" s="240"/>
      <c r="C25" s="240"/>
      <c r="D25" s="240"/>
      <c r="E25" s="418">
        <f>Main!E25</f>
        <v>0</v>
      </c>
      <c r="F25" s="422"/>
      <c r="G25" s="143"/>
      <c r="H25" s="48">
        <f>Main!H25</f>
        <v>0</v>
      </c>
      <c r="I25" s="188"/>
      <c r="J25" s="80"/>
    </row>
    <row r="26" spans="1:11" ht="13.15">
      <c r="A26" s="420" t="str">
        <f>Main!A26</f>
        <v>Total</v>
      </c>
      <c r="B26" s="421"/>
      <c r="C26" s="421"/>
      <c r="D26" s="421"/>
      <c r="E26" s="416"/>
      <c r="F26" s="417"/>
      <c r="G26" s="241">
        <f>Main!G26</f>
        <v>0</v>
      </c>
      <c r="H26" s="241">
        <f>Main!H26</f>
        <v>0</v>
      </c>
      <c r="I26" s="189"/>
      <c r="J26" s="80"/>
    </row>
    <row r="27" spans="1:11" ht="3.95" customHeight="1">
      <c r="A27" s="494"/>
      <c r="B27" s="494"/>
      <c r="C27" s="494"/>
      <c r="D27" s="494"/>
      <c r="E27" s="494"/>
      <c r="F27" s="494"/>
      <c r="G27" s="494"/>
      <c r="H27" s="494"/>
      <c r="I27" s="495"/>
      <c r="J27" s="30"/>
    </row>
    <row r="28" spans="1:11" ht="39.6">
      <c r="A28" s="114" t="s">
        <v>116</v>
      </c>
      <c r="B28" s="116" t="s">
        <v>117</v>
      </c>
      <c r="C28" s="116" t="s">
        <v>118</v>
      </c>
      <c r="D28" s="116" t="s">
        <v>119</v>
      </c>
      <c r="E28" s="117" t="s">
        <v>120</v>
      </c>
      <c r="F28" s="117" t="s">
        <v>121</v>
      </c>
      <c r="G28" s="117" t="s">
        <v>122</v>
      </c>
      <c r="H28" s="117" t="s">
        <v>123</v>
      </c>
      <c r="I28" s="117" t="s">
        <v>124</v>
      </c>
      <c r="J28" s="118" t="s">
        <v>125</v>
      </c>
      <c r="K28" s="30"/>
    </row>
    <row r="29" spans="1:11" ht="13.15">
      <c r="A29" s="242" t="s">
        <v>126</v>
      </c>
      <c r="B29" s="48">
        <f>Main!B29</f>
        <v>122000</v>
      </c>
      <c r="C29" s="243" t="str">
        <f>Main!C29</f>
        <v>Annually</v>
      </c>
      <c r="D29" s="48">
        <f>Main!D29</f>
        <v>0</v>
      </c>
      <c r="E29" s="241">
        <f>Main!E29</f>
        <v>122000</v>
      </c>
      <c r="F29" s="48">
        <f>Main!F29</f>
        <v>0</v>
      </c>
      <c r="G29" s="241">
        <f>Main!G29</f>
        <v>122000</v>
      </c>
      <c r="H29" s="241">
        <f>Main!H29</f>
        <v>29828</v>
      </c>
      <c r="I29" s="241">
        <f>Main!I29</f>
        <v>92172</v>
      </c>
      <c r="J29" s="241">
        <f>Main!J29</f>
        <v>7681</v>
      </c>
    </row>
    <row r="30" spans="1:11" ht="13.15">
      <c r="A30" s="242" t="s">
        <v>128</v>
      </c>
      <c r="B30" s="48">
        <f>Main!B30</f>
        <v>0</v>
      </c>
      <c r="C30" s="243">
        <f>Main!C30</f>
        <v>0</v>
      </c>
      <c r="D30" s="48">
        <f>Main!D30</f>
        <v>0</v>
      </c>
      <c r="E30" s="241">
        <f>Main!E30</f>
        <v>0</v>
      </c>
      <c r="F30" s="48">
        <f>Main!F30</f>
        <v>0</v>
      </c>
      <c r="G30" s="241">
        <f>Main!G30</f>
        <v>0</v>
      </c>
      <c r="H30" s="241">
        <f>Main!H30</f>
        <v>0</v>
      </c>
      <c r="I30" s="241">
        <f>Main!I30</f>
        <v>0</v>
      </c>
      <c r="J30" s="241">
        <f>Main!J30</f>
        <v>0</v>
      </c>
    </row>
    <row r="31" spans="1:11" ht="13.15">
      <c r="A31" s="242" t="s">
        <v>129</v>
      </c>
      <c r="B31" s="48">
        <f>Main!B31</f>
        <v>0</v>
      </c>
      <c r="C31" s="243">
        <f>Main!C31</f>
        <v>0</v>
      </c>
      <c r="D31" s="48">
        <f>Main!D31</f>
        <v>0</v>
      </c>
      <c r="E31" s="241">
        <f>Main!E31</f>
        <v>0</v>
      </c>
      <c r="F31" s="48">
        <f>Main!F31</f>
        <v>0</v>
      </c>
      <c r="G31" s="241">
        <f>Main!G31</f>
        <v>0</v>
      </c>
      <c r="H31" s="241">
        <f>Main!H31</f>
        <v>0</v>
      </c>
      <c r="I31" s="241">
        <f>Main!I31</f>
        <v>0</v>
      </c>
      <c r="J31" s="241">
        <f>Main!J31</f>
        <v>0</v>
      </c>
    </row>
    <row r="32" spans="1:11" ht="13.15">
      <c r="A32" s="242" t="s">
        <v>130</v>
      </c>
      <c r="B32" s="48">
        <f>Main!B32</f>
        <v>0</v>
      </c>
      <c r="C32" s="243">
        <f>Main!C32</f>
        <v>0</v>
      </c>
      <c r="D32" s="48">
        <f>Main!D32</f>
        <v>0</v>
      </c>
      <c r="E32" s="241">
        <f>Main!E32</f>
        <v>0</v>
      </c>
      <c r="F32" s="48">
        <f>Main!F32</f>
        <v>0</v>
      </c>
      <c r="G32" s="241">
        <f>Main!G32</f>
        <v>0</v>
      </c>
      <c r="H32" s="241">
        <f>Main!H32</f>
        <v>0</v>
      </c>
      <c r="I32" s="241">
        <f>Main!I32</f>
        <v>0</v>
      </c>
      <c r="J32" s="241">
        <f>Main!J32</f>
        <v>0</v>
      </c>
    </row>
    <row r="33" spans="1:10" ht="13.15">
      <c r="A33" s="242" t="s">
        <v>131</v>
      </c>
      <c r="B33" s="48">
        <f>Main!B33</f>
        <v>0</v>
      </c>
      <c r="C33" s="243">
        <f>Main!C33</f>
        <v>0</v>
      </c>
      <c r="D33" s="48">
        <f>Main!D33</f>
        <v>0</v>
      </c>
      <c r="E33" s="241">
        <f>Main!E33</f>
        <v>0</v>
      </c>
      <c r="F33" s="48">
        <f>Main!F33</f>
        <v>0</v>
      </c>
      <c r="G33" s="241">
        <f>Main!G33</f>
        <v>0</v>
      </c>
      <c r="H33" s="241">
        <f>Main!H33</f>
        <v>0</v>
      </c>
      <c r="I33" s="241">
        <f>Main!I33</f>
        <v>0</v>
      </c>
      <c r="J33" s="241">
        <f>Main!J33</f>
        <v>0</v>
      </c>
    </row>
    <row r="34" spans="1:10" ht="13.15">
      <c r="A34" s="242" t="s">
        <v>132</v>
      </c>
      <c r="B34" s="48">
        <f>Main!B34</f>
        <v>0</v>
      </c>
      <c r="C34" s="243">
        <f>Main!C34</f>
        <v>0</v>
      </c>
      <c r="D34" s="48">
        <f>Main!D34</f>
        <v>0</v>
      </c>
      <c r="E34" s="241">
        <f>Main!E34</f>
        <v>0</v>
      </c>
      <c r="F34" s="48">
        <f>Main!F34</f>
        <v>0</v>
      </c>
      <c r="G34" s="241">
        <f>Main!G34</f>
        <v>0</v>
      </c>
      <c r="H34" s="241">
        <f>Main!H34</f>
        <v>0</v>
      </c>
      <c r="I34" s="241">
        <f>Main!I34</f>
        <v>0</v>
      </c>
      <c r="J34" s="241">
        <f>Main!J34</f>
        <v>0</v>
      </c>
    </row>
    <row r="35" spans="1:10" ht="52.9">
      <c r="A35" s="115" t="s">
        <v>133</v>
      </c>
      <c r="B35" s="244">
        <f>Main!B35</f>
        <v>0</v>
      </c>
      <c r="C35" s="93" t="str">
        <f>Main!C35</f>
        <v>Fortnightly</v>
      </c>
      <c r="D35" s="215"/>
      <c r="E35" s="215"/>
      <c r="F35" s="215"/>
      <c r="G35" s="215"/>
      <c r="H35" s="215"/>
      <c r="I35" s="245">
        <f>Main!I35</f>
        <v>0</v>
      </c>
      <c r="J35" s="245">
        <f>Main!J35</f>
        <v>0</v>
      </c>
    </row>
    <row r="36" spans="1:10" ht="13.15">
      <c r="A36" s="510" t="s">
        <v>134</v>
      </c>
      <c r="B36" s="511"/>
      <c r="C36" s="511"/>
      <c r="D36" s="512"/>
      <c r="E36" s="48">
        <f>Main!E36</f>
        <v>0</v>
      </c>
      <c r="F36" s="246">
        <f>Main!F36</f>
        <v>0</v>
      </c>
      <c r="G36" s="247">
        <f>Main!G36</f>
        <v>0</v>
      </c>
      <c r="H36" s="248">
        <f>Main!H36</f>
        <v>0</v>
      </c>
      <c r="I36" s="247">
        <f>Main!I36</f>
        <v>0</v>
      </c>
      <c r="J36" s="247">
        <f>Main!J36</f>
        <v>0</v>
      </c>
    </row>
    <row r="37" spans="1:10" ht="13.15">
      <c r="A37" s="510" t="s">
        <v>135</v>
      </c>
      <c r="B37" s="511"/>
      <c r="C37" s="511"/>
      <c r="D37" s="512"/>
      <c r="E37" s="249">
        <f>Main!E37</f>
        <v>0</v>
      </c>
      <c r="F37" s="107"/>
      <c r="G37" s="108"/>
      <c r="H37" s="108"/>
      <c r="I37" s="108"/>
      <c r="J37" s="109"/>
    </row>
    <row r="38" spans="1:10" ht="13.15">
      <c r="A38" s="510" t="s">
        <v>136</v>
      </c>
      <c r="B38" s="511"/>
      <c r="C38" s="511"/>
      <c r="D38" s="512"/>
      <c r="E38" s="247">
        <f>Main!E38</f>
        <v>0</v>
      </c>
      <c r="F38" s="174" t="str">
        <f>Main!F38</f>
        <v/>
      </c>
      <c r="G38" s="174"/>
      <c r="H38" s="174"/>
      <c r="I38" s="174"/>
      <c r="J38" s="250"/>
    </row>
    <row r="39" spans="1:10" ht="13.15">
      <c r="A39" s="214" t="s">
        <v>158</v>
      </c>
      <c r="B39" s="215"/>
      <c r="C39" s="215"/>
      <c r="D39" s="215"/>
      <c r="E39" s="215"/>
      <c r="F39" s="215"/>
      <c r="G39" s="215"/>
      <c r="H39" s="215"/>
      <c r="I39" s="48">
        <f>Main!I39</f>
        <v>0</v>
      </c>
      <c r="J39" s="144"/>
    </row>
    <row r="40" spans="1:10" ht="13.15">
      <c r="A40" s="423" t="s">
        <v>138</v>
      </c>
      <c r="B40" s="416"/>
      <c r="C40" s="416"/>
      <c r="D40" s="417"/>
      <c r="E40" s="251">
        <f>Main!E40</f>
        <v>122000</v>
      </c>
      <c r="F40" s="241">
        <f>Main!F40</f>
        <v>0</v>
      </c>
      <c r="G40" s="241">
        <f>Main!G40</f>
        <v>122000</v>
      </c>
      <c r="H40" s="241">
        <f>Main!H40</f>
        <v>29828</v>
      </c>
      <c r="I40" s="241">
        <f>Main!I40</f>
        <v>92172</v>
      </c>
      <c r="J40" s="241">
        <f>Main!J40</f>
        <v>7681</v>
      </c>
    </row>
    <row r="41" spans="1:10" ht="3.95" customHeight="1">
      <c r="E41" s="50"/>
      <c r="F41" s="50"/>
      <c r="G41" s="50"/>
      <c r="H41" s="50"/>
      <c r="I41" s="50"/>
    </row>
    <row r="42" spans="1:10" ht="13.15">
      <c r="A42" s="506" t="s">
        <v>139</v>
      </c>
      <c r="B42" s="507"/>
      <c r="C42" s="507"/>
      <c r="D42" s="513"/>
      <c r="E42" s="98" t="s">
        <v>140</v>
      </c>
      <c r="F42" s="104"/>
      <c r="G42" s="105"/>
      <c r="H42" s="105"/>
      <c r="I42" s="106"/>
      <c r="J42" s="103" t="s">
        <v>141</v>
      </c>
    </row>
    <row r="43" spans="1:10" ht="13.15">
      <c r="A43" s="510" t="s">
        <v>27</v>
      </c>
      <c r="B43" s="511"/>
      <c r="C43" s="511"/>
      <c r="D43" s="512"/>
      <c r="E43" s="252">
        <f>Main!E43</f>
        <v>53748</v>
      </c>
      <c r="F43" s="429"/>
      <c r="G43" s="430"/>
      <c r="H43" s="430"/>
      <c r="I43" s="431"/>
      <c r="J43" s="253">
        <f>Main!J43</f>
        <v>4479</v>
      </c>
    </row>
    <row r="44" spans="1:10" ht="13.15">
      <c r="A44" s="510" t="s">
        <v>30</v>
      </c>
      <c r="B44" s="511"/>
      <c r="C44" s="511"/>
      <c r="D44" s="512"/>
      <c r="E44" s="249">
        <f>Main!E44</f>
        <v>0</v>
      </c>
      <c r="F44" s="429"/>
      <c r="G44" s="430"/>
      <c r="H44" s="430"/>
      <c r="I44" s="431"/>
      <c r="J44" s="253">
        <f>Main!J44</f>
        <v>0</v>
      </c>
    </row>
    <row r="45" spans="1:10" ht="13.15">
      <c r="A45" s="510" t="s">
        <v>142</v>
      </c>
      <c r="B45" s="511"/>
      <c r="C45" s="511"/>
      <c r="D45" s="512"/>
      <c r="E45" s="254">
        <f>Main!E45</f>
        <v>53748</v>
      </c>
      <c r="F45" s="432"/>
      <c r="G45" s="433"/>
      <c r="H45" s="433"/>
      <c r="I45" s="434"/>
      <c r="J45" s="251">
        <f>Main!J45</f>
        <v>4479</v>
      </c>
    </row>
    <row r="46" spans="1:10" ht="3.95" customHeight="1">
      <c r="A46" s="30"/>
      <c r="B46" s="30"/>
      <c r="C46" s="30"/>
      <c r="D46" s="30"/>
      <c r="E46" s="30"/>
      <c r="F46" s="30"/>
      <c r="I46" s="30"/>
      <c r="J46" s="30"/>
    </row>
    <row r="47" spans="1:10" ht="13.15">
      <c r="A47" s="98" t="s">
        <v>143</v>
      </c>
      <c r="B47" s="99"/>
      <c r="C47" s="99"/>
      <c r="D47" s="99"/>
      <c r="E47" s="99"/>
      <c r="F47" s="103"/>
      <c r="G47" s="412" t="str">
        <f>Maximum_Loan_Amount_Text</f>
        <v>Maximum Loan Amount</v>
      </c>
      <c r="H47" s="413"/>
      <c r="I47" s="110"/>
      <c r="J47" s="111"/>
    </row>
    <row r="48" spans="1:10" ht="13.15">
      <c r="A48" s="426" t="s">
        <v>69</v>
      </c>
      <c r="B48" s="426"/>
      <c r="C48" s="426"/>
      <c r="D48" s="426"/>
      <c r="E48" s="426"/>
      <c r="F48" s="241">
        <f>Main!F48</f>
        <v>92172</v>
      </c>
      <c r="G48" s="427">
        <f>Main!$G$48</f>
        <v>178000</v>
      </c>
      <c r="H48" s="428"/>
      <c r="I48" s="141"/>
      <c r="J48" s="142"/>
    </row>
    <row r="49" spans="1:11" ht="13.15">
      <c r="A49" s="435" t="s">
        <v>145</v>
      </c>
      <c r="B49" s="436"/>
      <c r="C49" s="436"/>
      <c r="D49" s="436"/>
      <c r="E49" s="417"/>
      <c r="F49" s="241">
        <f>Main!F49</f>
        <v>53748</v>
      </c>
      <c r="G49" s="112"/>
      <c r="H49" s="141"/>
      <c r="I49" s="141"/>
      <c r="J49" s="255"/>
      <c r="K49" s="34"/>
    </row>
    <row r="50" spans="1:11" ht="13.15">
      <c r="A50" s="435" t="s">
        <v>147</v>
      </c>
      <c r="B50" s="436"/>
      <c r="C50" s="436"/>
      <c r="D50" s="436"/>
      <c r="E50" s="417"/>
      <c r="F50" s="241">
        <f>Main!F50</f>
        <v>0</v>
      </c>
      <c r="G50" s="140"/>
      <c r="H50" s="130"/>
      <c r="I50" s="130"/>
      <c r="J50" s="113"/>
    </row>
    <row r="51" spans="1:11" ht="12.95" customHeight="1">
      <c r="A51" s="437" t="s">
        <v>149</v>
      </c>
      <c r="B51" s="437"/>
      <c r="C51" s="437"/>
      <c r="D51" s="437"/>
      <c r="E51" s="426"/>
      <c r="F51" s="241">
        <f>Main!F51</f>
        <v>38424</v>
      </c>
      <c r="G51" s="368" t="s">
        <v>150</v>
      </c>
      <c r="H51" s="369"/>
      <c r="I51" s="369"/>
      <c r="J51" s="370"/>
    </row>
    <row r="52" spans="1:11" ht="12.95" customHeight="1">
      <c r="A52" s="423" t="str">
        <f>"Proposed Loan Payments @ "&amp;TEXT(CalculationsReference!G9,"##0.00%")</f>
        <v>Proposed Loan Payments @ 12.49%</v>
      </c>
      <c r="B52" s="416"/>
      <c r="C52" s="416"/>
      <c r="D52" s="416"/>
      <c r="E52" s="417"/>
      <c r="F52" s="241">
        <f>Main!F52</f>
        <v>2484</v>
      </c>
      <c r="G52" s="371"/>
      <c r="H52" s="372"/>
      <c r="I52" s="372"/>
      <c r="J52" s="373"/>
    </row>
    <row r="53" spans="1:11" ht="13.15">
      <c r="A53" s="438" t="s">
        <v>151</v>
      </c>
      <c r="B53" s="438"/>
      <c r="C53" s="438"/>
      <c r="D53" s="438"/>
      <c r="E53" s="439"/>
      <c r="F53" s="241">
        <f>Main!F53</f>
        <v>35940</v>
      </c>
      <c r="G53" s="371"/>
      <c r="H53" s="372"/>
      <c r="I53" s="372"/>
      <c r="J53" s="373"/>
    </row>
    <row r="54" spans="1:11" ht="13.15">
      <c r="A54" s="100" t="s">
        <v>152</v>
      </c>
      <c r="B54" s="101"/>
      <c r="C54" s="101"/>
      <c r="D54" s="101"/>
      <c r="E54" s="102"/>
      <c r="F54" s="46">
        <f>Main!F54</f>
        <v>2995</v>
      </c>
      <c r="G54" s="374"/>
      <c r="H54" s="375"/>
      <c r="I54" s="375"/>
      <c r="J54" s="376"/>
    </row>
    <row r="55" spans="1:11" ht="4.7" customHeight="1"/>
    <row r="56" spans="1:11" ht="13.15"/>
  </sheetData>
  <sheetProtection selectLockedCells="1"/>
  <mergeCells count="57">
    <mergeCell ref="A49:E49"/>
    <mergeCell ref="A50:E50"/>
    <mergeCell ref="A51:E51"/>
    <mergeCell ref="G51:J54"/>
    <mergeCell ref="A52:E52"/>
    <mergeCell ref="A53:E53"/>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H17:I17"/>
    <mergeCell ref="A20:F20"/>
    <mergeCell ref="E24:F24"/>
    <mergeCell ref="A26:F26"/>
    <mergeCell ref="A23:F23"/>
    <mergeCell ref="E25:F25"/>
    <mergeCell ref="A17:E17"/>
    <mergeCell ref="A18:E18"/>
    <mergeCell ref="A19:E19"/>
    <mergeCell ref="A24:D24"/>
    <mergeCell ref="A21:F21"/>
    <mergeCell ref="A22:F22"/>
    <mergeCell ref="I18:I19"/>
    <mergeCell ref="I23:I24"/>
    <mergeCell ref="A16:I16"/>
    <mergeCell ref="B4:F4"/>
    <mergeCell ref="A5:I5"/>
    <mergeCell ref="B6:C6"/>
    <mergeCell ref="B7:C7"/>
    <mergeCell ref="G7:I11"/>
    <mergeCell ref="B8:C8"/>
    <mergeCell ref="B10:C10"/>
    <mergeCell ref="B11:C11"/>
    <mergeCell ref="B13:C13"/>
    <mergeCell ref="G13:I13"/>
    <mergeCell ref="B14:C14"/>
    <mergeCell ref="G14:I14"/>
    <mergeCell ref="A15:I15"/>
    <mergeCell ref="B12:C12"/>
    <mergeCell ref="B9:C9"/>
    <mergeCell ref="A3:I3"/>
    <mergeCell ref="A1:A2"/>
    <mergeCell ref="C1:H1"/>
    <mergeCell ref="I1:I2"/>
    <mergeCell ref="J1:J2"/>
    <mergeCell ref="C2:H2"/>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77"/>
  <sheetViews>
    <sheetView topLeftCell="A30" zoomScale="90" zoomScaleNormal="90" workbookViewId="0">
      <selection activeCell="A66" sqref="A66"/>
    </sheetView>
  </sheetViews>
  <sheetFormatPr defaultColWidth="9.140625" defaultRowHeight="13.15"/>
  <cols>
    <col min="1" max="1" width="46" style="4" customWidth="1"/>
    <col min="2" max="2" width="18.42578125" style="4" customWidth="1"/>
    <col min="3" max="3" width="18" style="4" bestFit="1" customWidth="1"/>
    <col min="4" max="4" width="18.42578125" style="4" customWidth="1"/>
    <col min="5" max="5" width="15.5703125" style="4" customWidth="1"/>
    <col min="6" max="6" width="18" style="4" customWidth="1"/>
    <col min="7" max="7" width="19.5703125" style="4" bestFit="1" customWidth="1"/>
    <col min="8" max="8" width="19.42578125" style="4" bestFit="1" customWidth="1"/>
    <col min="9" max="9" width="15.42578125" style="4" bestFit="1" customWidth="1"/>
    <col min="10" max="12" width="12.140625" style="4" bestFit="1" customWidth="1"/>
    <col min="13" max="13" width="10.5703125" style="4" customWidth="1"/>
    <col min="14" max="21" width="11.140625" style="4" bestFit="1" customWidth="1"/>
    <col min="22" max="16384" width="9.140625" style="4"/>
  </cols>
  <sheetData>
    <row r="1" spans="1:10" ht="15.95" customHeight="1">
      <c r="A1" s="440" t="s">
        <v>159</v>
      </c>
      <c r="B1" s="441"/>
      <c r="C1" s="441"/>
      <c r="D1" s="441"/>
      <c r="E1" s="441"/>
      <c r="F1" s="5">
        <f>Main!I1</f>
        <v>0</v>
      </c>
    </row>
    <row r="2" spans="1:10">
      <c r="A2" s="8"/>
      <c r="B2" s="8"/>
      <c r="H2" s="79" t="s">
        <v>160</v>
      </c>
      <c r="I2" s="9" t="s">
        <v>161</v>
      </c>
      <c r="J2" s="30"/>
    </row>
    <row r="3" spans="1:10">
      <c r="A3" s="442" t="s">
        <v>162</v>
      </c>
      <c r="B3" s="443"/>
      <c r="H3" s="256" t="s">
        <v>163</v>
      </c>
      <c r="I3" s="257">
        <f>365/7</f>
        <v>52.142857142857146</v>
      </c>
    </row>
    <row r="4" spans="1:10">
      <c r="A4" s="134" t="s">
        <v>164</v>
      </c>
      <c r="B4" s="258">
        <v>0.05</v>
      </c>
      <c r="H4" s="256" t="s">
        <v>165</v>
      </c>
      <c r="I4" s="257">
        <f>365/14</f>
        <v>26.071428571428573</v>
      </c>
    </row>
    <row r="5" spans="1:10">
      <c r="A5" s="134" t="s">
        <v>166</v>
      </c>
      <c r="B5" s="258">
        <v>2.5000000000000001E-2</v>
      </c>
      <c r="C5" s="259"/>
      <c r="H5" s="256" t="s">
        <v>167</v>
      </c>
      <c r="I5" s="260">
        <v>12</v>
      </c>
    </row>
    <row r="6" spans="1:10">
      <c r="B6" s="259"/>
      <c r="C6" s="259"/>
      <c r="H6" s="256" t="s">
        <v>168</v>
      </c>
      <c r="I6" s="260">
        <v>4</v>
      </c>
    </row>
    <row r="7" spans="1:10">
      <c r="A7" s="10" t="s">
        <v>169</v>
      </c>
      <c r="B7" s="444" t="s">
        <v>170</v>
      </c>
      <c r="C7" s="445"/>
      <c r="D7" s="444" t="s">
        <v>171</v>
      </c>
      <c r="E7" s="445"/>
      <c r="F7" s="447" t="s">
        <v>172</v>
      </c>
      <c r="G7" s="445"/>
      <c r="H7" s="256" t="s">
        <v>127</v>
      </c>
      <c r="I7" s="260">
        <v>1</v>
      </c>
    </row>
    <row r="8" spans="1:10">
      <c r="A8" s="448" t="s">
        <v>173</v>
      </c>
      <c r="B8" s="261" t="s">
        <v>73</v>
      </c>
      <c r="C8" s="173">
        <f>Loan_Amount</f>
        <v>11500</v>
      </c>
      <c r="D8" s="262" t="s">
        <v>174</v>
      </c>
      <c r="E8" s="173">
        <f>Credit_Card_Limit</f>
        <v>0</v>
      </c>
      <c r="F8" s="263" t="s">
        <v>73</v>
      </c>
      <c r="G8" s="173">
        <f>Loan_Amount</f>
        <v>11500</v>
      </c>
    </row>
    <row r="9" spans="1:10">
      <c r="A9" s="449"/>
      <c r="B9" s="261" t="s">
        <v>175</v>
      </c>
      <c r="C9" s="264">
        <f>Loan_Interest_Rate</f>
        <v>9.9900000000000003E-2</v>
      </c>
      <c r="F9" s="263" t="s">
        <v>175</v>
      </c>
      <c r="G9" s="265">
        <f>NSRInterestRate</f>
        <v>0.12490000000000001</v>
      </c>
    </row>
    <row r="10" spans="1:10">
      <c r="A10" s="449"/>
      <c r="B10" s="266" t="s">
        <v>105</v>
      </c>
      <c r="C10" s="260">
        <f>Loan_Term_Years</f>
        <v>7</v>
      </c>
      <c r="F10" s="263" t="s">
        <v>105</v>
      </c>
      <c r="G10" s="260">
        <f>Loan_Term_Years</f>
        <v>7</v>
      </c>
    </row>
    <row r="11" spans="1:10">
      <c r="A11" s="450"/>
      <c r="B11" s="262" t="s">
        <v>176</v>
      </c>
      <c r="C11" s="267">
        <f>(ROUNDUP(IF(AND(Loan_Amount&gt;0,Loan_Interest_Rate&gt;0,Loan_Term_Years&gt;0),-PMT(Loan_Interest_Rate/12,Loan_Term_Years*12,Loan_Amount,0,0),0),0))</f>
        <v>191</v>
      </c>
      <c r="D11" s="148" t="s">
        <v>176</v>
      </c>
      <c r="E11" s="173">
        <f>(ROUNDUP(IF(Credit_Card_Limit&gt;0,MAX((Credit_Card_Limit*IF(Credit_Card_Brand_Choice="Amigo",Credit_Card_Monthly_Percent_Amigo,Credit_Card_Monthly_Payment_Percent)),20),0),0))</f>
        <v>0</v>
      </c>
      <c r="F11" s="268" t="s">
        <v>176</v>
      </c>
      <c r="G11" s="173">
        <f>ROUNDUP(IF(AND(OR(Credit_Card_Limit&gt;0,Loan_Amount&gt;0),Loan_Interest_Rate&gt;0,Loan_Term_Years&gt;0),(-PMT(NSRInterestRate/12,Loan_Term_Years*12,Loan_Amount,0,0)),0),0)+Credit_Card_Monthly_Payment</f>
        <v>207</v>
      </c>
    </row>
    <row r="13" spans="1:10">
      <c r="C13" s="191" t="s">
        <v>101</v>
      </c>
      <c r="D13" s="191" t="s">
        <v>177</v>
      </c>
      <c r="E13" s="191" t="s">
        <v>178</v>
      </c>
    </row>
    <row r="14" spans="1:10">
      <c r="A14" s="442" t="s">
        <v>179</v>
      </c>
      <c r="B14" s="443"/>
      <c r="C14" s="192">
        <f>Credit_Card_Monthly_Percent</f>
        <v>3.2000000000000001E-2</v>
      </c>
      <c r="D14" s="192">
        <f>Credit_Card_Monthly_Percent_Amigo</f>
        <v>3.5000000000000003E-2</v>
      </c>
      <c r="E14" s="192">
        <f>Credit_Card_Monthly_Percent_OtherBanks</f>
        <v>3.7499999999999999E-2</v>
      </c>
    </row>
    <row r="15" spans="1:10" ht="13.9">
      <c r="A15" s="442" t="s">
        <v>180</v>
      </c>
      <c r="B15" s="443"/>
      <c r="C15" s="269">
        <f>RentalAllowance</f>
        <v>0.8</v>
      </c>
      <c r="G15" s="183" t="s">
        <v>181</v>
      </c>
      <c r="H15" s="269">
        <f>CompanyRentalAllowance</f>
        <v>0.6</v>
      </c>
    </row>
    <row r="16" spans="1:10">
      <c r="A16" s="446" t="s">
        <v>182</v>
      </c>
      <c r="B16" s="443"/>
      <c r="C16" s="269">
        <f>Overtime_Haircut</f>
        <v>0.2</v>
      </c>
    </row>
    <row r="18" spans="1:9" s="14" customFormat="1">
      <c r="A18" s="11" t="s">
        <v>183</v>
      </c>
      <c r="B18" s="12" t="s">
        <v>126</v>
      </c>
      <c r="C18" s="12" t="s">
        <v>128</v>
      </c>
      <c r="D18" s="12" t="s">
        <v>129</v>
      </c>
      <c r="E18" s="12" t="s">
        <v>130</v>
      </c>
      <c r="F18" s="12" t="s">
        <v>131</v>
      </c>
      <c r="G18" s="13" t="s">
        <v>132</v>
      </c>
      <c r="H18" s="12" t="s">
        <v>184</v>
      </c>
      <c r="I18" s="12" t="s">
        <v>49</v>
      </c>
    </row>
    <row r="19" spans="1:9">
      <c r="A19" s="17" t="s">
        <v>185</v>
      </c>
      <c r="B19" s="16">
        <f>Applicant1_GIncome</f>
        <v>122000</v>
      </c>
      <c r="C19" s="16">
        <f>Applicant2_GIncome</f>
        <v>0</v>
      </c>
      <c r="D19" s="16">
        <f>Applicant3_GIncome</f>
        <v>0</v>
      </c>
      <c r="E19" s="16">
        <f>Applicant4_GIncome</f>
        <v>0</v>
      </c>
      <c r="F19" s="16">
        <f>Applicant5_GIncome</f>
        <v>0</v>
      </c>
      <c r="G19" s="16">
        <f>Applicant6_GIncome</f>
        <v>0</v>
      </c>
      <c r="H19" s="16"/>
      <c r="I19" s="16"/>
    </row>
    <row r="20" spans="1:9">
      <c r="A20" s="17" t="s">
        <v>186</v>
      </c>
      <c r="B20" s="16">
        <f>IF(Applicant1_IncFreq="","",VLOOKUP(Applicant1_IncFreq,Payment_Frequency_Multiples,2,FALSE))</f>
        <v>1</v>
      </c>
      <c r="C20" s="16" t="str">
        <f>IF(Applicant2_IncFreq="","",VLOOKUP(Applicant2_IncFreq,Payment_Frequency_Multiples,2,FALSE))</f>
        <v/>
      </c>
      <c r="D20" s="16" t="str">
        <f>IF(Applicant3_IncFreq="","",VLOOKUP(Applicant3_IncFreq,Payment_Frequency_Multiples,2,FALSE))</f>
        <v/>
      </c>
      <c r="E20" s="16" t="str">
        <f>IF(Applicant4_IncFreq="","",VLOOKUP(Applicant4_IncFreq,Payment_Frequency_Multiples,2,FALSE))</f>
        <v/>
      </c>
      <c r="F20" s="16" t="str">
        <f>IF(Applicant5_IncFreq="","",VLOOKUP(Applicant5_IncFreq,Payment_Frequency_Multiples,2,FALSE))</f>
        <v/>
      </c>
      <c r="G20" s="16" t="str">
        <f>IF(Applicant6_IncFreq="","",VLOOKUP(Applicant6_IncFreq,Payment_Frequency_Multiples,2,FALSE))</f>
        <v/>
      </c>
      <c r="H20" s="16"/>
      <c r="I20" s="16"/>
    </row>
    <row r="21" spans="1:9">
      <c r="A21" s="17" t="s">
        <v>187</v>
      </c>
      <c r="B21" s="16">
        <f>IF(Applicant1_IncFreq="",0,B19*B20)</f>
        <v>122000</v>
      </c>
      <c r="C21" s="16">
        <f>IF(Applicant2_IncFreq="",0,C19*C20)</f>
        <v>0</v>
      </c>
      <c r="D21" s="16">
        <f>IF(Applicant3_IncFreq="",0,D19*D20)</f>
        <v>0</v>
      </c>
      <c r="E21" s="16">
        <f>IF(Applicant4_IncFreq="",0,E19*E20)</f>
        <v>0</v>
      </c>
      <c r="F21" s="16">
        <f>IF(Applicant5_IncFreq="",0,F19*F20)</f>
        <v>0</v>
      </c>
      <c r="G21" s="16">
        <f>IF(Applicant6_IncFreq="",0,G19*G20)</f>
        <v>0</v>
      </c>
      <c r="H21" s="16">
        <f>(Company_NPBT_GAIncome+Company_NPBT_GAIncomePY)/2</f>
        <v>0</v>
      </c>
      <c r="I21" s="16">
        <f>SUM(B21:H21)</f>
        <v>122000</v>
      </c>
    </row>
    <row r="22" spans="1:9">
      <c r="A22" s="17" t="s">
        <v>188</v>
      </c>
      <c r="B22" s="173">
        <f>IF(Appl_Annual_Income_inc_Overtime_1&gt;B21,(Appl_Annual_Income_inc_Overtime_1-B21)*(1-Overtime_Haircut),0)</f>
        <v>0</v>
      </c>
      <c r="C22" s="16">
        <f>IF(Appl_Annual_Income_inc_Overtime_2&gt;C21,(Appl_Annual_Income_inc_Overtime_2-C21)*(1-Overtime_Haircut),0)</f>
        <v>0</v>
      </c>
      <c r="D22" s="16">
        <f>IF(Appl_Annual_Income_inc_Overtime_3&gt;D21,(Appl_Annual_Income_inc_Overtime_3-D21)*(1-Overtime_Haircut),0)</f>
        <v>0</v>
      </c>
      <c r="E22" s="16">
        <f>IF(Appl_Annual_Income_inc_Overtime_4&gt;E21,(Appl_Annual_Income_inc_Overtime_4-E21)*(1-Overtime_Haircut),0)</f>
        <v>0</v>
      </c>
      <c r="F22" s="16">
        <f>IF(Appl_Annual_Income_inc_Overtime_5&gt;F21,(Appl_Annual_Income_inc_Overtime_5-F21)*(1-Overtime_Haircut),0)</f>
        <v>0</v>
      </c>
      <c r="G22" s="16">
        <f>IF(Appl_Annual_Income_inc_Overtime_6&gt;G21,(Appl_Annual_Income_inc_Overtime_6-G21)*(1-Overtime_Haircut),0)</f>
        <v>0</v>
      </c>
      <c r="H22" s="16"/>
      <c r="I22" s="16"/>
    </row>
    <row r="23" spans="1:9">
      <c r="A23" s="15" t="s">
        <v>120</v>
      </c>
      <c r="B23" s="16">
        <f>SUM(B21:B22)</f>
        <v>122000</v>
      </c>
      <c r="C23" s="16">
        <f t="shared" ref="C23:H23" si="0">SUM(C21:C22)</f>
        <v>0</v>
      </c>
      <c r="D23" s="16">
        <f t="shared" si="0"/>
        <v>0</v>
      </c>
      <c r="E23" s="16">
        <f t="shared" si="0"/>
        <v>0</v>
      </c>
      <c r="F23" s="16">
        <f t="shared" si="0"/>
        <v>0</v>
      </c>
      <c r="G23" s="16">
        <f t="shared" si="0"/>
        <v>0</v>
      </c>
      <c r="H23" s="16">
        <f t="shared" si="0"/>
        <v>0</v>
      </c>
      <c r="I23" s="16">
        <f>SUM(B23:H23)</f>
        <v>122000</v>
      </c>
    </row>
    <row r="24" spans="1:9">
      <c r="A24" s="15" t="str">
        <f>+TEXT(RentalAllowance,"##0.00%")&amp;" Gross Annual Rental Income"</f>
        <v>80.00% Gross Annual Rental Income</v>
      </c>
      <c r="B24" s="16">
        <f>ROUND(Applicant1_GARental*RentalAllowance,0)</f>
        <v>0</v>
      </c>
      <c r="C24" s="16">
        <f>ROUND(Applicant2_GARental*RentalAllowance,0)</f>
        <v>0</v>
      </c>
      <c r="D24" s="16">
        <f>ROUND(Applicant3_GARental*RentalAllowance,0)</f>
        <v>0</v>
      </c>
      <c r="E24" s="16">
        <f>ROUND(Applicant4_GARental*RentalAllowance,0)</f>
        <v>0</v>
      </c>
      <c r="F24" s="16">
        <f>ROUND(Applicant5_GARental*RentalAllowance,0)</f>
        <v>0</v>
      </c>
      <c r="G24" s="16">
        <f>ROUND(Applicant6_GARental*RentalAllowance,0)</f>
        <v>0</v>
      </c>
      <c r="H24" s="16">
        <f>ROUND(Company_NPBT_GARental*CompanyRentalAllowance,0)</f>
        <v>0</v>
      </c>
      <c r="I24" s="16">
        <f>SUM(B24:H24)</f>
        <v>0</v>
      </c>
    </row>
    <row r="25" spans="1:9">
      <c r="A25" s="17" t="s">
        <v>189</v>
      </c>
      <c r="B25" s="173">
        <f t="shared" ref="B25:H25" si="1">SUM(B23:B24)</f>
        <v>122000</v>
      </c>
      <c r="C25" s="173">
        <f t="shared" si="1"/>
        <v>0</v>
      </c>
      <c r="D25" s="173">
        <f t="shared" si="1"/>
        <v>0</v>
      </c>
      <c r="E25" s="173">
        <f t="shared" si="1"/>
        <v>0</v>
      </c>
      <c r="F25" s="173">
        <f t="shared" si="1"/>
        <v>0</v>
      </c>
      <c r="G25" s="173">
        <f t="shared" si="1"/>
        <v>0</v>
      </c>
      <c r="H25" s="16">
        <f t="shared" si="1"/>
        <v>0</v>
      </c>
      <c r="I25" s="173">
        <f>SUM(B25:H25)</f>
        <v>122000</v>
      </c>
    </row>
    <row r="26" spans="1:9">
      <c r="A26" s="17"/>
      <c r="B26" s="18"/>
      <c r="C26" s="18"/>
      <c r="D26" s="18"/>
      <c r="E26" s="18"/>
      <c r="F26" s="18"/>
      <c r="G26" s="18"/>
      <c r="H26" s="16"/>
      <c r="I26" s="18"/>
    </row>
    <row r="27" spans="1:9">
      <c r="A27" s="17" t="s">
        <v>190</v>
      </c>
      <c r="B27" s="19">
        <f>IF(Main!$F$40&gt;0,ROUND(B24/(Main!$F$40*RentalAllowance),4),0)</f>
        <v>0</v>
      </c>
      <c r="C27" s="19">
        <f>IF(Main!$F$40&gt;0,ROUND(C24/(Main!$F$40*RentalAllowance),4),0)</f>
        <v>0</v>
      </c>
      <c r="D27" s="19">
        <f>IF(Main!$F$40&gt;0,ROUND(D24/(Main!$F$40*RentalAllowance),4),0)</f>
        <v>0</v>
      </c>
      <c r="E27" s="19">
        <f>IF(Main!$F$40&gt;0,ROUND(E24/(Main!$F$40*RentalAllowance),4),0)</f>
        <v>0</v>
      </c>
      <c r="F27" s="19">
        <f>IF(Main!$F$40&gt;0,ROUND(F24/(Main!$F$40*RentalAllowance),4),0)</f>
        <v>0</v>
      </c>
      <c r="G27" s="19">
        <f>IF(Main!$F$40&gt;0,ROUND(G24/(Main!$F$40*RentalAllowance),4),0)</f>
        <v>0</v>
      </c>
      <c r="H27" s="19">
        <f>IF(Main!$F$40&gt;0,ROUND(H24/(Main!$F$40*CompanyRentalAllowance),4),0)</f>
        <v>0</v>
      </c>
      <c r="I27" s="19">
        <f>SUM(B27:H27)</f>
        <v>0</v>
      </c>
    </row>
    <row r="28" spans="1:9">
      <c r="A28" s="15"/>
      <c r="B28" s="16"/>
      <c r="C28" s="16"/>
      <c r="D28" s="16"/>
      <c r="E28" s="16"/>
      <c r="F28" s="16"/>
      <c r="G28" s="16"/>
      <c r="H28" s="16"/>
      <c r="I28" s="16"/>
    </row>
    <row r="29" spans="1:9">
      <c r="A29" s="43" t="s">
        <v>191</v>
      </c>
      <c r="B29" s="270">
        <f>IF(B24&gt;0,ROUND(IPMT(Loan_Interest_Rate,1,Loan_Term_Years*12,Main!$B$8*B27,0,0),0),0)</f>
        <v>0</v>
      </c>
      <c r="C29" s="270">
        <f>IF(C24&gt;0,ROUND(IPMT(Loan_Interest_Rate,1,Loan_Term_Years*12,Main!$B$8*C27,0,0),0),0)</f>
        <v>0</v>
      </c>
      <c r="D29" s="270">
        <f>IF(D24&gt;0,ROUND(IPMT(Loan_Interest_Rate,1,Loan_Term_Years*12,Main!$B$8*D27,0,0),0),0)</f>
        <v>0</v>
      </c>
      <c r="E29" s="270">
        <f>IF(E24&gt;0,ROUND(IPMT(Loan_Interest_Rate,1,Loan_Term_Years*12,Main!$B$8*E27,0,0),0),0)</f>
        <v>0</v>
      </c>
      <c r="F29" s="270">
        <f>IF(F24&gt;0,ROUND(IPMT(Loan_Interest_Rate,1,Loan_Term_Years*12,Main!$B$8*F27,0,0),0),0)</f>
        <v>0</v>
      </c>
      <c r="G29" s="270">
        <f>IF(G24&gt;0,ROUND(IPMT(Loan_Interest_Rate,1,Loan_Term_Years*12,Main!$B$8*G27,0,0),0),0)</f>
        <v>0</v>
      </c>
      <c r="H29" s="270">
        <f>IF(H24&gt;0,ROUND(IPMT(Loan_Interest_Rate,1,Loan_Term_Years*12,Main!$B$8*H27,0,0),0),0)</f>
        <v>0</v>
      </c>
      <c r="I29" s="270">
        <f>SUM(B29:H29)</f>
        <v>0</v>
      </c>
    </row>
    <row r="30" spans="1:9">
      <c r="A30" s="43" t="s">
        <v>192</v>
      </c>
      <c r="B30" s="270">
        <f>IF(B24&gt;0,ROUND(MAX(-Other_Loans_Inv_Payment*12*B27,IPMT(Loan_Interest_Rate,1,30,Other_Loans_Inv_Amount*B27,0,0)),0),0)</f>
        <v>0</v>
      </c>
      <c r="C30" s="270">
        <f>IF(C24&gt;0,ROUND(MAX(-Other_Loans_Inv_Payment*12*C27,IPMT(Loan_Interest_Rate,1,30,Other_Loans_Inv_Amount*C27,0,0)),0),0)</f>
        <v>0</v>
      </c>
      <c r="D30" s="270">
        <f t="shared" ref="D30:H30" si="2">IF(D24&gt;0,ROUND(MAX(-Other_Loans_Inv_Payment*12*D27,IPMT(Loan_Interest_Rate,1,30,Other_Loans_Inv_Amount*D27,0,0)),0),0)</f>
        <v>0</v>
      </c>
      <c r="E30" s="270">
        <f t="shared" si="2"/>
        <v>0</v>
      </c>
      <c r="F30" s="270">
        <f t="shared" si="2"/>
        <v>0</v>
      </c>
      <c r="G30" s="270">
        <f t="shared" si="2"/>
        <v>0</v>
      </c>
      <c r="H30" s="270">
        <f t="shared" si="2"/>
        <v>0</v>
      </c>
      <c r="I30" s="270">
        <f>SUM(B30:H30)</f>
        <v>0</v>
      </c>
    </row>
    <row r="31" spans="1:9">
      <c r="A31" s="17"/>
      <c r="B31" s="271"/>
      <c r="C31" s="271"/>
      <c r="D31" s="271"/>
      <c r="E31" s="271"/>
      <c r="F31" s="271"/>
      <c r="G31" s="271"/>
      <c r="H31" s="16"/>
      <c r="I31" s="271"/>
    </row>
    <row r="32" spans="1:9">
      <c r="A32" s="15" t="s">
        <v>193</v>
      </c>
      <c r="B32" s="16">
        <f>B25-B24</f>
        <v>122000</v>
      </c>
      <c r="C32" s="16">
        <f t="shared" ref="C32:I32" si="3">C25-C24</f>
        <v>0</v>
      </c>
      <c r="D32" s="16">
        <f t="shared" si="3"/>
        <v>0</v>
      </c>
      <c r="E32" s="16">
        <f t="shared" si="3"/>
        <v>0</v>
      </c>
      <c r="F32" s="16">
        <f t="shared" si="3"/>
        <v>0</v>
      </c>
      <c r="G32" s="16">
        <f t="shared" si="3"/>
        <v>0</v>
      </c>
      <c r="H32" s="16">
        <f t="shared" si="3"/>
        <v>0</v>
      </c>
      <c r="I32" s="16">
        <f t="shared" si="3"/>
        <v>122000</v>
      </c>
    </row>
    <row r="33" spans="1:9">
      <c r="A33" s="15"/>
      <c r="B33" s="16"/>
      <c r="C33" s="16"/>
      <c r="D33" s="16"/>
      <c r="E33" s="16"/>
      <c r="F33" s="16"/>
      <c r="G33" s="16"/>
      <c r="H33" s="16"/>
      <c r="I33" s="16"/>
    </row>
    <row r="34" spans="1:9">
      <c r="A34" s="15" t="s">
        <v>194</v>
      </c>
      <c r="B34" s="16">
        <f t="shared" ref="B34:G34" si="4">IF(B32&gt;0,VLOOKUP(B32,TaxScales,1),0)</f>
        <v>45001</v>
      </c>
      <c r="C34" s="16">
        <f t="shared" si="4"/>
        <v>0</v>
      </c>
      <c r="D34" s="16">
        <f t="shared" si="4"/>
        <v>0</v>
      </c>
      <c r="E34" s="16">
        <f t="shared" si="4"/>
        <v>0</v>
      </c>
      <c r="F34" s="16">
        <f t="shared" si="4"/>
        <v>0</v>
      </c>
      <c r="G34" s="16">
        <f t="shared" si="4"/>
        <v>0</v>
      </c>
      <c r="H34" s="20" t="s">
        <v>195</v>
      </c>
      <c r="I34" s="16">
        <f>SUM(B34:H34)</f>
        <v>45001</v>
      </c>
    </row>
    <row r="35" spans="1:9">
      <c r="A35" s="15" t="s">
        <v>196</v>
      </c>
      <c r="B35" s="16">
        <f t="shared" ref="B35:G35" si="5">IF(B32&gt;0,VLOOKUP(B32,TaxScales,2),0)</f>
        <v>4288</v>
      </c>
      <c r="C35" s="16">
        <f t="shared" si="5"/>
        <v>0</v>
      </c>
      <c r="D35" s="16">
        <f t="shared" si="5"/>
        <v>0</v>
      </c>
      <c r="E35" s="16">
        <f t="shared" si="5"/>
        <v>0</v>
      </c>
      <c r="F35" s="16">
        <f t="shared" si="5"/>
        <v>0</v>
      </c>
      <c r="G35" s="16">
        <f t="shared" si="5"/>
        <v>0</v>
      </c>
      <c r="H35" s="20" t="s">
        <v>195</v>
      </c>
      <c r="I35" s="16">
        <f>SUM(B35:H35)</f>
        <v>4288</v>
      </c>
    </row>
    <row r="36" spans="1:9">
      <c r="A36" s="15" t="s">
        <v>197</v>
      </c>
      <c r="B36" s="16">
        <f t="shared" ref="B36:G36" si="6">IF(B32&gt;0,B32-B34,0)</f>
        <v>76999</v>
      </c>
      <c r="C36" s="16">
        <f t="shared" si="6"/>
        <v>0</v>
      </c>
      <c r="D36" s="16">
        <f t="shared" si="6"/>
        <v>0</v>
      </c>
      <c r="E36" s="16">
        <f t="shared" si="6"/>
        <v>0</v>
      </c>
      <c r="F36" s="16">
        <f t="shared" si="6"/>
        <v>0</v>
      </c>
      <c r="G36" s="16">
        <f t="shared" si="6"/>
        <v>0</v>
      </c>
      <c r="H36" s="20" t="s">
        <v>195</v>
      </c>
      <c r="I36" s="16">
        <f>SUM(B36:H36)</f>
        <v>76999</v>
      </c>
    </row>
    <row r="37" spans="1:9">
      <c r="A37" s="15" t="s">
        <v>198</v>
      </c>
      <c r="B37" s="19">
        <f t="shared" ref="B37:G37" si="7">IF(B32&gt;0,VLOOKUP(B32,TaxScales,3),0)</f>
        <v>0.3</v>
      </c>
      <c r="C37" s="19">
        <f t="shared" si="7"/>
        <v>0</v>
      </c>
      <c r="D37" s="19">
        <f t="shared" si="7"/>
        <v>0</v>
      </c>
      <c r="E37" s="19">
        <f t="shared" si="7"/>
        <v>0</v>
      </c>
      <c r="F37" s="19">
        <f t="shared" si="7"/>
        <v>0</v>
      </c>
      <c r="G37" s="19">
        <f t="shared" si="7"/>
        <v>0</v>
      </c>
      <c r="H37" s="21">
        <f>CompanyTaxRate</f>
        <v>0.3</v>
      </c>
      <c r="I37" s="20" t="s">
        <v>195</v>
      </c>
    </row>
    <row r="38" spans="1:9">
      <c r="A38" s="15" t="s">
        <v>199</v>
      </c>
      <c r="B38" s="16">
        <f t="shared" ref="B38:G38" si="8">IF(B32&gt;0,ROUND(B36*B37,2),0)</f>
        <v>23099.7</v>
      </c>
      <c r="C38" s="16">
        <f t="shared" si="8"/>
        <v>0</v>
      </c>
      <c r="D38" s="16">
        <f t="shared" si="8"/>
        <v>0</v>
      </c>
      <c r="E38" s="16">
        <f t="shared" si="8"/>
        <v>0</v>
      </c>
      <c r="F38" s="16">
        <f t="shared" si="8"/>
        <v>0</v>
      </c>
      <c r="G38" s="16">
        <f t="shared" si="8"/>
        <v>0</v>
      </c>
      <c r="H38" s="22" t="s">
        <v>195</v>
      </c>
      <c r="I38" s="16">
        <f>SUM(B38:H38)</f>
        <v>23099.7</v>
      </c>
    </row>
    <row r="39" spans="1:9">
      <c r="A39" s="15" t="s">
        <v>200</v>
      </c>
      <c r="B39" s="16">
        <f t="shared" ref="B39:G39" si="9">IF(B32&gt;0,ROUND(B35+B38,0),0)</f>
        <v>27388</v>
      </c>
      <c r="C39" s="16">
        <f t="shared" si="9"/>
        <v>0</v>
      </c>
      <c r="D39" s="16">
        <f t="shared" si="9"/>
        <v>0</v>
      </c>
      <c r="E39" s="16">
        <f t="shared" si="9"/>
        <v>0</v>
      </c>
      <c r="F39" s="16">
        <f t="shared" si="9"/>
        <v>0</v>
      </c>
      <c r="G39" s="16">
        <f t="shared" si="9"/>
        <v>0</v>
      </c>
      <c r="H39" s="16">
        <f>IF(H32&gt;0,ROUND(H32*H37,0),0)</f>
        <v>0</v>
      </c>
      <c r="I39" s="16">
        <f>SUM(B39:H39)</f>
        <v>27388</v>
      </c>
    </row>
    <row r="40" spans="1:9">
      <c r="A40" s="15" t="s">
        <v>201</v>
      </c>
      <c r="B40" s="16">
        <f t="shared" ref="B40:G40" si="10">IF(B32&gt;Min_TaxableIncome,ROUND(B32*MedicareLevyRate,0),0)</f>
        <v>2440</v>
      </c>
      <c r="C40" s="16">
        <f t="shared" si="10"/>
        <v>0</v>
      </c>
      <c r="D40" s="16">
        <f t="shared" si="10"/>
        <v>0</v>
      </c>
      <c r="E40" s="16">
        <f t="shared" si="10"/>
        <v>0</v>
      </c>
      <c r="F40" s="16">
        <f t="shared" si="10"/>
        <v>0</v>
      </c>
      <c r="G40" s="16">
        <f t="shared" si="10"/>
        <v>0</v>
      </c>
      <c r="H40" s="20" t="s">
        <v>195</v>
      </c>
      <c r="I40" s="16">
        <f>SUM(B40:H40)</f>
        <v>2440</v>
      </c>
    </row>
    <row r="41" spans="1:9">
      <c r="A41" s="15" t="s">
        <v>202</v>
      </c>
      <c r="B41" s="16">
        <f t="shared" ref="B41:G41" si="11">ROUND(B39+B40,0)</f>
        <v>29828</v>
      </c>
      <c r="C41" s="16">
        <f t="shared" si="11"/>
        <v>0</v>
      </c>
      <c r="D41" s="16">
        <f t="shared" si="11"/>
        <v>0</v>
      </c>
      <c r="E41" s="16">
        <f t="shared" si="11"/>
        <v>0</v>
      </c>
      <c r="F41" s="16">
        <f t="shared" si="11"/>
        <v>0</v>
      </c>
      <c r="G41" s="16">
        <f t="shared" si="11"/>
        <v>0</v>
      </c>
      <c r="H41" s="20" t="s">
        <v>195</v>
      </c>
      <c r="I41" s="16">
        <f>SUM(B41:H41)</f>
        <v>29828</v>
      </c>
    </row>
    <row r="42" spans="1:9">
      <c r="A42" s="15" t="s">
        <v>203</v>
      </c>
      <c r="B42" s="16">
        <f t="shared" ref="B42:G42" si="12">ROUND(B25-B41,0)</f>
        <v>92172</v>
      </c>
      <c r="C42" s="16">
        <f t="shared" si="12"/>
        <v>0</v>
      </c>
      <c r="D42" s="16">
        <f t="shared" si="12"/>
        <v>0</v>
      </c>
      <c r="E42" s="16">
        <f t="shared" si="12"/>
        <v>0</v>
      </c>
      <c r="F42" s="16">
        <f t="shared" si="12"/>
        <v>0</v>
      </c>
      <c r="G42" s="16">
        <f t="shared" si="12"/>
        <v>0</v>
      </c>
      <c r="H42" s="16">
        <f>ROUND(H25-H39,0)</f>
        <v>0</v>
      </c>
      <c r="I42" s="16">
        <f>SUM(B42:H42)</f>
        <v>92172</v>
      </c>
    </row>
    <row r="43" spans="1:9">
      <c r="A43" s="15" t="s">
        <v>204</v>
      </c>
      <c r="B43" s="16">
        <f>B42/12</f>
        <v>7681</v>
      </c>
      <c r="C43" s="16">
        <f t="shared" ref="C43:G43" si="13">C42/12</f>
        <v>0</v>
      </c>
      <c r="D43" s="16">
        <f t="shared" si="13"/>
        <v>0</v>
      </c>
      <c r="E43" s="16">
        <f t="shared" si="13"/>
        <v>0</v>
      </c>
      <c r="F43" s="16">
        <f t="shared" si="13"/>
        <v>0</v>
      </c>
      <c r="G43" s="16">
        <f t="shared" si="13"/>
        <v>0</v>
      </c>
      <c r="H43" s="16">
        <f t="shared" ref="H43" si="14">H42/12</f>
        <v>0</v>
      </c>
      <c r="I43" s="16">
        <f t="shared" ref="I43" si="15">I42/12</f>
        <v>7681</v>
      </c>
    </row>
    <row r="44" spans="1:9">
      <c r="B44" s="30"/>
      <c r="C44" s="31"/>
    </row>
    <row r="45" spans="1:9" ht="13.9" thickBot="1">
      <c r="A45" s="28" t="s">
        <v>205</v>
      </c>
      <c r="B45" s="28"/>
      <c r="D45" s="25"/>
      <c r="E45" s="25"/>
      <c r="F45" s="25"/>
      <c r="G45" s="25"/>
    </row>
    <row r="46" spans="1:9" ht="13.9" thickBot="1">
      <c r="A46" s="29">
        <f>IF(Total_Gross_Annual_Income=0,0,INDEX(Calculated_Living_Expense_Table,MATCH((Total_Gross_Annual_Income-I24),Gross_Annual_Income_Bands,1),MATCH(Main!B6,Applicant_Type,0)))</f>
        <v>4479</v>
      </c>
      <c r="B46" s="33"/>
      <c r="D46" s="25"/>
      <c r="E46" s="25"/>
      <c r="F46" s="25"/>
      <c r="G46" s="25"/>
    </row>
    <row r="47" spans="1:9">
      <c r="A47" s="25"/>
      <c r="B47" s="25"/>
      <c r="C47" s="25"/>
      <c r="D47" s="25"/>
      <c r="E47" s="25"/>
      <c r="F47" s="25"/>
      <c r="G47" s="25"/>
    </row>
    <row r="48" spans="1:9">
      <c r="A48" s="25" t="s">
        <v>206</v>
      </c>
      <c r="B48" s="25"/>
      <c r="C48" s="25"/>
      <c r="D48" s="25"/>
      <c r="E48" s="25"/>
      <c r="F48" s="25"/>
      <c r="G48" s="25"/>
    </row>
    <row r="49" spans="1:19">
      <c r="A49" s="27" t="str">
        <f>'HEM Data'!A1&amp;" - "&amp;TEXT('HEM Data'!B1,"mmm yyyy")</f>
        <v>HEM DATA - Q2 2025</v>
      </c>
      <c r="B49" s="24"/>
      <c r="C49" s="24"/>
      <c r="D49" s="24"/>
      <c r="E49" s="24"/>
      <c r="F49" s="24"/>
      <c r="G49" s="24"/>
      <c r="H49" s="24"/>
      <c r="I49" s="24"/>
      <c r="J49" s="24"/>
      <c r="K49" s="24"/>
      <c r="L49" s="24"/>
      <c r="M49" s="24"/>
      <c r="N49" s="24"/>
      <c r="O49" s="24"/>
      <c r="P49" s="24"/>
      <c r="Q49" s="24"/>
      <c r="R49" s="24"/>
      <c r="S49" s="24"/>
    </row>
    <row r="50" spans="1:19">
      <c r="A50" s="25"/>
      <c r="B50" s="25"/>
      <c r="C50" s="25"/>
      <c r="D50" s="25"/>
      <c r="E50" s="25"/>
      <c r="F50"/>
      <c r="G50"/>
      <c r="H50"/>
      <c r="I50"/>
      <c r="J50"/>
      <c r="K50"/>
      <c r="L50"/>
      <c r="M50"/>
      <c r="N50"/>
      <c r="O50"/>
      <c r="P50"/>
      <c r="Q50"/>
      <c r="R50"/>
      <c r="S50"/>
    </row>
    <row r="51" spans="1:19" ht="39.950000000000003" customHeight="1">
      <c r="A51" s="161" t="s">
        <v>185</v>
      </c>
      <c r="B51" s="162" t="s">
        <v>207</v>
      </c>
      <c r="C51" s="162" t="s">
        <v>208</v>
      </c>
      <c r="D51" s="163" t="s">
        <v>209</v>
      </c>
      <c r="E51" s="163" t="s">
        <v>98</v>
      </c>
      <c r="F51" s="163" t="s">
        <v>210</v>
      </c>
      <c r="G51" s="163" t="s">
        <v>211</v>
      </c>
      <c r="H51" s="163" t="s">
        <v>212</v>
      </c>
      <c r="I51" s="163" t="s">
        <v>213</v>
      </c>
      <c r="J51" s="163" t="s">
        <v>214</v>
      </c>
      <c r="K51" s="163" t="s">
        <v>215</v>
      </c>
      <c r="L51" s="163" t="s">
        <v>216</v>
      </c>
      <c r="M51" s="163" t="s">
        <v>217</v>
      </c>
      <c r="N51" s="163" t="s">
        <v>218</v>
      </c>
      <c r="O51" s="163" t="s">
        <v>219</v>
      </c>
      <c r="P51" s="163" t="s">
        <v>220</v>
      </c>
      <c r="Q51" s="163" t="s">
        <v>221</v>
      </c>
      <c r="R51" s="163" t="s">
        <v>222</v>
      </c>
      <c r="S51" s="163" t="s">
        <v>223</v>
      </c>
    </row>
    <row r="52" spans="1:19" ht="14.45">
      <c r="A52" s="164">
        <f>'HEM Data'!B2</f>
        <v>0</v>
      </c>
      <c r="B52" s="160">
        <f>ROUND('HEM Data'!$B$8,0)</f>
        <v>1415</v>
      </c>
      <c r="C52" s="160">
        <f>ROUND('HEM Data'!$B$3,0)</f>
        <v>2724</v>
      </c>
      <c r="D52" s="160">
        <f>ROUND('HEM Data'!$B$4,0)</f>
        <v>2724</v>
      </c>
      <c r="E52" s="160">
        <f>ROUND('HEM Data'!$B$5,0)</f>
        <v>2724</v>
      </c>
      <c r="F52" s="160">
        <f>ROUND('HEM Data'!$B$6,0)</f>
        <v>2724</v>
      </c>
      <c r="G52" s="160">
        <f>ROUND('HEM Data'!$B$6,0)</f>
        <v>2724</v>
      </c>
      <c r="H52" s="160">
        <f>ROUND('HEM Data'!$B$6,0)</f>
        <v>2724</v>
      </c>
      <c r="I52" s="160">
        <f>ROUND('HEM Data'!$B$6,0)</f>
        <v>2724</v>
      </c>
      <c r="J52" s="160">
        <f>ROUND('HEM Data'!$B$6,0)</f>
        <v>2724</v>
      </c>
      <c r="K52" s="160">
        <f>ROUND('HEM Data'!$B$6,0)</f>
        <v>2724</v>
      </c>
      <c r="L52" s="160">
        <f>ROUND('HEM Data'!$B$9,0)</f>
        <v>1415</v>
      </c>
      <c r="M52" s="160">
        <f>ROUND('HEM Data'!$B$10,0)</f>
        <v>1415</v>
      </c>
      <c r="N52" s="160">
        <f>ROUND('HEM Data'!$B$11,0)</f>
        <v>1415</v>
      </c>
      <c r="O52" s="160">
        <f>ROUND('HEM Data'!$B$11,0)</f>
        <v>1415</v>
      </c>
      <c r="P52" s="160">
        <f>ROUND('HEM Data'!$B$11,0)</f>
        <v>1415</v>
      </c>
      <c r="Q52" s="160">
        <f>ROUND('HEM Data'!$B$11,0)</f>
        <v>1415</v>
      </c>
      <c r="R52" s="160">
        <f>ROUND('HEM Data'!$B$11,0)</f>
        <v>1415</v>
      </c>
      <c r="S52" s="160">
        <f>ROUND('HEM Data'!$B$11,0)</f>
        <v>1415</v>
      </c>
    </row>
    <row r="53" spans="1:19" ht="14.45">
      <c r="A53" s="164">
        <f>'HEM Data'!C2</f>
        <v>26000</v>
      </c>
      <c r="B53" s="160">
        <f>ROUND('HEM Data'!$C$8,0)</f>
        <v>1485</v>
      </c>
      <c r="C53" s="160">
        <f>ROUND('HEM Data'!$C$3,0)</f>
        <v>2724</v>
      </c>
      <c r="D53" s="160">
        <f>ROUND('HEM Data'!$C$4,0)</f>
        <v>2724</v>
      </c>
      <c r="E53" s="160">
        <f>ROUND('HEM Data'!$C$5,0)</f>
        <v>2724</v>
      </c>
      <c r="F53" s="160">
        <f>ROUND('HEM Data'!$C$6,0)</f>
        <v>2724</v>
      </c>
      <c r="G53" s="160">
        <f>ROUND('HEM Data'!$C$6,0)</f>
        <v>2724</v>
      </c>
      <c r="H53" s="160">
        <f>ROUND('HEM Data'!$C$6,0)</f>
        <v>2724</v>
      </c>
      <c r="I53" s="160">
        <f>ROUND('HEM Data'!$C$6,0)</f>
        <v>2724</v>
      </c>
      <c r="J53" s="160">
        <f>ROUND('HEM Data'!$C$6,0)</f>
        <v>2724</v>
      </c>
      <c r="K53" s="160">
        <f>ROUND('HEM Data'!$C$6,0)</f>
        <v>2724</v>
      </c>
      <c r="L53" s="160">
        <f>ROUND('HEM Data'!$C$9,0)</f>
        <v>1933</v>
      </c>
      <c r="M53" s="160">
        <f>ROUND('HEM Data'!$C$10,0)</f>
        <v>2439</v>
      </c>
      <c r="N53" s="160">
        <f>ROUND('HEM Data'!$C$11,0)</f>
        <v>2439</v>
      </c>
      <c r="O53" s="160">
        <f>ROUND('HEM Data'!$C$11,0)</f>
        <v>2439</v>
      </c>
      <c r="P53" s="160">
        <f>ROUND('HEM Data'!$C$11,0)</f>
        <v>2439</v>
      </c>
      <c r="Q53" s="160">
        <f>ROUND('HEM Data'!$C$11,0)</f>
        <v>2439</v>
      </c>
      <c r="R53" s="160">
        <f>ROUND('HEM Data'!$C$11,0)</f>
        <v>2439</v>
      </c>
      <c r="S53" s="160">
        <f>ROUND('HEM Data'!$C$11,0)</f>
        <v>2439</v>
      </c>
    </row>
    <row r="54" spans="1:19" ht="14.45">
      <c r="A54" s="164">
        <v>39000</v>
      </c>
      <c r="B54" s="160">
        <f>ROUND('HEM Data'!$D$8,0)</f>
        <v>1552</v>
      </c>
      <c r="C54" s="160">
        <f>ROUND('HEM Data'!$D$3,0)</f>
        <v>2791</v>
      </c>
      <c r="D54" s="160">
        <f>ROUND('HEM Data'!$D$4,0)</f>
        <v>3201</v>
      </c>
      <c r="E54" s="160">
        <f>ROUND('HEM Data'!$D$5,0)</f>
        <v>3500</v>
      </c>
      <c r="F54" s="160">
        <f>ROUND('HEM Data'!$D$6,0)</f>
        <v>3500</v>
      </c>
      <c r="G54" s="160">
        <f>ROUND('HEM Data'!$D$6,0)</f>
        <v>3500</v>
      </c>
      <c r="H54" s="160">
        <f>ROUND('HEM Data'!$D$6,0)</f>
        <v>3500</v>
      </c>
      <c r="I54" s="160">
        <f>ROUND('HEM Data'!$D$6,0)</f>
        <v>3500</v>
      </c>
      <c r="J54" s="160">
        <f>ROUND('HEM Data'!$D$6,0)</f>
        <v>3500</v>
      </c>
      <c r="K54" s="160">
        <f>ROUND('HEM Data'!$D$6,0)</f>
        <v>3500</v>
      </c>
      <c r="L54" s="160">
        <f>ROUND('HEM Data'!$D$9,0)</f>
        <v>2000</v>
      </c>
      <c r="M54" s="160">
        <f>ROUND('HEM Data'!$D$10,0)</f>
        <v>2506</v>
      </c>
      <c r="N54" s="160">
        <f>ROUND('HEM Data'!$D$11,0)</f>
        <v>3012</v>
      </c>
      <c r="O54" s="160">
        <f>ROUND('HEM Data'!$D$11,0)</f>
        <v>3012</v>
      </c>
      <c r="P54" s="160">
        <f>ROUND('HEM Data'!$D$11,0)</f>
        <v>3012</v>
      </c>
      <c r="Q54" s="160">
        <f>ROUND('HEM Data'!$D$11,0)</f>
        <v>3012</v>
      </c>
      <c r="R54" s="160">
        <f>ROUND('HEM Data'!$D$11,0)</f>
        <v>3012</v>
      </c>
      <c r="S54" s="160">
        <f>ROUND('HEM Data'!$D$11,0)</f>
        <v>3012</v>
      </c>
    </row>
    <row r="55" spans="1:19" ht="14.45">
      <c r="A55" s="164">
        <v>52000</v>
      </c>
      <c r="B55" s="160">
        <f>ROUND('HEM Data'!$E$8,0)</f>
        <v>1665</v>
      </c>
      <c r="C55" s="160">
        <f>ROUND('HEM Data'!$E$3,0)</f>
        <v>2904</v>
      </c>
      <c r="D55" s="160">
        <f>ROUND('HEM Data'!$E$4,0)</f>
        <v>3315</v>
      </c>
      <c r="E55" s="160">
        <f>ROUND('HEM Data'!$E$5,0)</f>
        <v>3613</v>
      </c>
      <c r="F55" s="160">
        <f>ROUND('HEM Data'!$E$6,0)</f>
        <v>3908</v>
      </c>
      <c r="G55" s="160">
        <f>ROUND('HEM Data'!$E$6,0)</f>
        <v>3908</v>
      </c>
      <c r="H55" s="160">
        <f>ROUND('HEM Data'!$E$6,0)</f>
        <v>3908</v>
      </c>
      <c r="I55" s="160">
        <f>ROUND('HEM Data'!$E$6,0)</f>
        <v>3908</v>
      </c>
      <c r="J55" s="160">
        <f>ROUND('HEM Data'!$E$6,0)</f>
        <v>3908</v>
      </c>
      <c r="K55" s="160">
        <f>ROUND('HEM Data'!$E$6,0)</f>
        <v>3908</v>
      </c>
      <c r="L55" s="160">
        <f>ROUND('HEM Data'!$E$9,0)</f>
        <v>2113</v>
      </c>
      <c r="M55" s="160">
        <f>ROUND('HEM Data'!$E$10,0)</f>
        <v>2618</v>
      </c>
      <c r="N55" s="160">
        <f>ROUND('HEM Data'!$E$11,0)</f>
        <v>3124</v>
      </c>
      <c r="O55" s="160">
        <f>ROUND('HEM Data'!$E$11,0)</f>
        <v>3124</v>
      </c>
      <c r="P55" s="160">
        <f>ROUND('HEM Data'!$E$11,0)</f>
        <v>3124</v>
      </c>
      <c r="Q55" s="160">
        <f>ROUND('HEM Data'!$E$11,0)</f>
        <v>3124</v>
      </c>
      <c r="R55" s="160">
        <f>ROUND('HEM Data'!$E$11,0)</f>
        <v>3124</v>
      </c>
      <c r="S55" s="160">
        <f>ROUND('HEM Data'!$E$11,0)</f>
        <v>3124</v>
      </c>
    </row>
    <row r="56" spans="1:19" ht="14.45">
      <c r="A56" s="164">
        <v>66000</v>
      </c>
      <c r="B56" s="160">
        <f>ROUND('HEM Data'!$F$8,0)</f>
        <v>1851</v>
      </c>
      <c r="C56" s="160">
        <f>ROUND('HEM Data'!$F$3,0)</f>
        <v>3089</v>
      </c>
      <c r="D56" s="160">
        <f>ROUND('HEM Data'!$F$4,0)</f>
        <v>3501</v>
      </c>
      <c r="E56" s="160">
        <f>ROUND('HEM Data'!$F$5,0)</f>
        <v>3798</v>
      </c>
      <c r="F56" s="160">
        <f>ROUND('HEM Data'!$F$6,0)</f>
        <v>4093</v>
      </c>
      <c r="G56" s="160">
        <f>ROUND('HEM Data'!$F$6,0)</f>
        <v>4093</v>
      </c>
      <c r="H56" s="160">
        <f>ROUND('HEM Data'!$F$6,0)</f>
        <v>4093</v>
      </c>
      <c r="I56" s="160">
        <f>ROUND('HEM Data'!$F$6,0)</f>
        <v>4093</v>
      </c>
      <c r="J56" s="160">
        <f>ROUND('HEM Data'!$F$6,0)</f>
        <v>4093</v>
      </c>
      <c r="K56" s="160">
        <f>ROUND('HEM Data'!$F$6,0)</f>
        <v>4093</v>
      </c>
      <c r="L56" s="160">
        <f>ROUND('HEM Data'!$F$9,0)</f>
        <v>2297</v>
      </c>
      <c r="M56" s="160">
        <f>ROUND('HEM Data'!$F$10,0)</f>
        <v>2802</v>
      </c>
      <c r="N56" s="160">
        <f>ROUND('HEM Data'!$F$11,0)</f>
        <v>3308</v>
      </c>
      <c r="O56" s="160">
        <f>ROUND('HEM Data'!$F$11,0)</f>
        <v>3308</v>
      </c>
      <c r="P56" s="160">
        <f>ROUND('HEM Data'!$F$11,0)</f>
        <v>3308</v>
      </c>
      <c r="Q56" s="160">
        <f>ROUND('HEM Data'!$F$11,0)</f>
        <v>3308</v>
      </c>
      <c r="R56" s="160">
        <f>ROUND('HEM Data'!$F$11,0)</f>
        <v>3308</v>
      </c>
      <c r="S56" s="160">
        <f>ROUND('HEM Data'!$F$11,0)</f>
        <v>3308</v>
      </c>
    </row>
    <row r="57" spans="1:19" ht="14.45">
      <c r="A57" s="164">
        <v>79000</v>
      </c>
      <c r="B57" s="160">
        <f>ROUND('HEM Data'!$G$8,0)</f>
        <v>2137</v>
      </c>
      <c r="C57" s="160">
        <f>ROUND('HEM Data'!$G$3,0)</f>
        <v>3375</v>
      </c>
      <c r="D57" s="160">
        <f>ROUND('HEM Data'!$G$4,0)</f>
        <v>3788</v>
      </c>
      <c r="E57" s="160">
        <f>ROUND('HEM Data'!$G$5,0)</f>
        <v>4083</v>
      </c>
      <c r="F57" s="160">
        <f>ROUND('HEM Data'!$G$6,0)</f>
        <v>4379</v>
      </c>
      <c r="G57" s="160">
        <f>ROUND('HEM Data'!$G$6,0)</f>
        <v>4379</v>
      </c>
      <c r="H57" s="160">
        <f>ROUND('HEM Data'!$G$6,0)</f>
        <v>4379</v>
      </c>
      <c r="I57" s="160">
        <f>ROUND('HEM Data'!$G$6,0)</f>
        <v>4379</v>
      </c>
      <c r="J57" s="160">
        <f>ROUND('HEM Data'!$G$6,0)</f>
        <v>4379</v>
      </c>
      <c r="K57" s="160">
        <f>ROUND('HEM Data'!$G$6,0)</f>
        <v>4379</v>
      </c>
      <c r="L57" s="160">
        <f>ROUND('HEM Data'!$G$9,0)</f>
        <v>2582</v>
      </c>
      <c r="M57" s="160">
        <f>ROUND('HEM Data'!$G$10,0)</f>
        <v>3087</v>
      </c>
      <c r="N57" s="160">
        <f>ROUND('HEM Data'!$G$11,0)</f>
        <v>3592</v>
      </c>
      <c r="O57" s="160">
        <f>ROUND('HEM Data'!$G$11,0)</f>
        <v>3592</v>
      </c>
      <c r="P57" s="160">
        <f>ROUND('HEM Data'!$G$11,0)</f>
        <v>3592</v>
      </c>
      <c r="Q57" s="160">
        <f>ROUND('HEM Data'!$G$11,0)</f>
        <v>3592</v>
      </c>
      <c r="R57" s="160">
        <f>ROUND('HEM Data'!$G$11,0)</f>
        <v>3592</v>
      </c>
      <c r="S57" s="160">
        <f>ROUND('HEM Data'!$G$11,0)</f>
        <v>3592</v>
      </c>
    </row>
    <row r="58" spans="1:19" ht="14.45">
      <c r="A58" s="164">
        <v>105000</v>
      </c>
      <c r="B58" s="160">
        <f>ROUND('HEM Data'!$H$8,0)</f>
        <v>2535</v>
      </c>
      <c r="C58" s="160">
        <f>ROUND('HEM Data'!$H$3,0)</f>
        <v>3772</v>
      </c>
      <c r="D58" s="160">
        <f>ROUND('HEM Data'!$H$4,0)</f>
        <v>4187</v>
      </c>
      <c r="E58" s="160">
        <f>ROUND('HEM Data'!$H$5,0)</f>
        <v>4479</v>
      </c>
      <c r="F58" s="160">
        <f>ROUND('HEM Data'!$H$6,0)</f>
        <v>4775</v>
      </c>
      <c r="G58" s="160">
        <f>ROUND('HEM Data'!$H$6,0)</f>
        <v>4775</v>
      </c>
      <c r="H58" s="160">
        <f>ROUND('HEM Data'!$H$6,0)</f>
        <v>4775</v>
      </c>
      <c r="I58" s="160">
        <f>ROUND('HEM Data'!$H$6,0)</f>
        <v>4775</v>
      </c>
      <c r="J58" s="160">
        <f>ROUND('HEM Data'!$H$6,0)</f>
        <v>4775</v>
      </c>
      <c r="K58" s="160">
        <f>ROUND('HEM Data'!$H$6,0)</f>
        <v>4775</v>
      </c>
      <c r="L58" s="160">
        <f>ROUND('HEM Data'!$H$9,0)</f>
        <v>2977</v>
      </c>
      <c r="M58" s="160">
        <f>ROUND('HEM Data'!$H$10,0)</f>
        <v>3481</v>
      </c>
      <c r="N58" s="160">
        <f>ROUND('HEM Data'!$H$11,0)</f>
        <v>3986</v>
      </c>
      <c r="O58" s="160">
        <f>ROUND('HEM Data'!$H$11,0)</f>
        <v>3986</v>
      </c>
      <c r="P58" s="160">
        <f>ROUND('HEM Data'!$H$11,0)</f>
        <v>3986</v>
      </c>
      <c r="Q58" s="160">
        <f>ROUND('HEM Data'!$H$11,0)</f>
        <v>3986</v>
      </c>
      <c r="R58" s="160">
        <f>ROUND('HEM Data'!$H$11,0)</f>
        <v>3986</v>
      </c>
      <c r="S58" s="160">
        <f>ROUND('HEM Data'!$H$11,0)</f>
        <v>3986</v>
      </c>
    </row>
    <row r="59" spans="1:19" ht="14.45">
      <c r="A59" s="164">
        <v>131000</v>
      </c>
      <c r="B59" s="160">
        <f>ROUND('HEM Data'!$I$8,0)</f>
        <v>2872</v>
      </c>
      <c r="C59" s="160">
        <f>ROUND('HEM Data'!$I$3,0)</f>
        <v>4109</v>
      </c>
      <c r="D59" s="160">
        <f>ROUND('HEM Data'!$I$4,0)</f>
        <v>4525</v>
      </c>
      <c r="E59" s="160">
        <f>ROUND('HEM Data'!$I$5,0)</f>
        <v>4815</v>
      </c>
      <c r="F59" s="160">
        <f>ROUND('HEM Data'!$I$6,0)</f>
        <v>5110</v>
      </c>
      <c r="G59" s="160">
        <f>ROUND('HEM Data'!$I$6,0)</f>
        <v>5110</v>
      </c>
      <c r="H59" s="160">
        <f>ROUND('HEM Data'!$I$6,0)</f>
        <v>5110</v>
      </c>
      <c r="I59" s="160">
        <f>ROUND('HEM Data'!$I$6,0)</f>
        <v>5110</v>
      </c>
      <c r="J59" s="160">
        <f>ROUND('HEM Data'!$I$6,0)</f>
        <v>5110</v>
      </c>
      <c r="K59" s="160">
        <f>ROUND('HEM Data'!$I$6,0)</f>
        <v>5110</v>
      </c>
      <c r="L59" s="160">
        <f>ROUND('HEM Data'!$I$9,0)</f>
        <v>3312</v>
      </c>
      <c r="M59" s="160">
        <f>ROUND('HEM Data'!$I$10,0)</f>
        <v>3816</v>
      </c>
      <c r="N59" s="160">
        <f>ROUND('HEM Data'!$I$11,0)</f>
        <v>4320</v>
      </c>
      <c r="O59" s="160">
        <f>ROUND('HEM Data'!$I$11,0)</f>
        <v>4320</v>
      </c>
      <c r="P59" s="160">
        <f>ROUND('HEM Data'!$I$11,0)</f>
        <v>4320</v>
      </c>
      <c r="Q59" s="160">
        <f>ROUND('HEM Data'!$I$11,0)</f>
        <v>4320</v>
      </c>
      <c r="R59" s="160">
        <f>ROUND('HEM Data'!$I$11,0)</f>
        <v>4320</v>
      </c>
      <c r="S59" s="160">
        <f>ROUND('HEM Data'!$I$11,0)</f>
        <v>4320</v>
      </c>
    </row>
    <row r="60" spans="1:19" ht="14.45">
      <c r="A60" s="164">
        <v>157000</v>
      </c>
      <c r="B60" s="160">
        <f>ROUND('HEM Data'!$J$8,0)</f>
        <v>3248</v>
      </c>
      <c r="C60" s="160">
        <f>ROUND('HEM Data'!$J$3,0)</f>
        <v>4484</v>
      </c>
      <c r="D60" s="160">
        <f>ROUND('HEM Data'!$J$4,0)</f>
        <v>4901</v>
      </c>
      <c r="E60" s="160">
        <f>ROUND('HEM Data'!$J$5,0)</f>
        <v>5189</v>
      </c>
      <c r="F60" s="160">
        <f>ROUND('HEM Data'!$J$6,0)</f>
        <v>5484</v>
      </c>
      <c r="G60" s="160">
        <f>ROUND('HEM Data'!$J$6,0)</f>
        <v>5484</v>
      </c>
      <c r="H60" s="160">
        <f>ROUND('HEM Data'!$J$6,0)</f>
        <v>5484</v>
      </c>
      <c r="I60" s="160">
        <f>ROUND('HEM Data'!$J$6,0)</f>
        <v>5484</v>
      </c>
      <c r="J60" s="160">
        <f>ROUND('HEM Data'!$J$6,0)</f>
        <v>5484</v>
      </c>
      <c r="K60" s="160">
        <f>ROUND('HEM Data'!$J$6,0)</f>
        <v>5484</v>
      </c>
      <c r="L60" s="160">
        <f>ROUND('HEM Data'!$J$9,0)</f>
        <v>3685</v>
      </c>
      <c r="M60" s="160">
        <f>ROUND('HEM Data'!$J$10,0)</f>
        <v>4188</v>
      </c>
      <c r="N60" s="160">
        <f>ROUND('HEM Data'!$J$11,0)</f>
        <v>4691</v>
      </c>
      <c r="O60" s="160">
        <f>ROUND('HEM Data'!$J$11,0)</f>
        <v>4691</v>
      </c>
      <c r="P60" s="160">
        <f>ROUND('HEM Data'!$J$11,0)</f>
        <v>4691</v>
      </c>
      <c r="Q60" s="160">
        <f>ROUND('HEM Data'!$J$11,0)</f>
        <v>4691</v>
      </c>
      <c r="R60" s="160">
        <f>ROUND('HEM Data'!$J$11,0)</f>
        <v>4691</v>
      </c>
      <c r="S60" s="160">
        <f>ROUND('HEM Data'!$J$11,0)</f>
        <v>4691</v>
      </c>
    </row>
    <row r="61" spans="1:19" ht="14.45">
      <c r="A61" s="164">
        <v>184000</v>
      </c>
      <c r="B61" s="160">
        <f>ROUND('HEM Data'!$K$8,0)</f>
        <v>3468</v>
      </c>
      <c r="C61" s="160">
        <f>ROUND('HEM Data'!$K$3,0)</f>
        <v>4704</v>
      </c>
      <c r="D61" s="160">
        <f>ROUND('HEM Data'!$K$4,0)</f>
        <v>5122</v>
      </c>
      <c r="E61" s="160">
        <f>ROUND('HEM Data'!$K$5,0)</f>
        <v>5409</v>
      </c>
      <c r="F61" s="160">
        <f>ROUND('HEM Data'!$K$6,0)</f>
        <v>5703</v>
      </c>
      <c r="G61" s="160">
        <f>ROUND('HEM Data'!$K$6,0)</f>
        <v>5703</v>
      </c>
      <c r="H61" s="160">
        <f>ROUND('HEM Data'!$K$6,0)</f>
        <v>5703</v>
      </c>
      <c r="I61" s="160">
        <f>ROUND('HEM Data'!$K$6,0)</f>
        <v>5703</v>
      </c>
      <c r="J61" s="160">
        <f>ROUND('HEM Data'!$K$6,0)</f>
        <v>5703</v>
      </c>
      <c r="K61" s="160">
        <f>ROUND('HEM Data'!$K$6,0)</f>
        <v>5703</v>
      </c>
      <c r="L61" s="160">
        <f>ROUND('HEM Data'!$K$9,0)</f>
        <v>3904</v>
      </c>
      <c r="M61" s="160">
        <f>ROUND('HEM Data'!$K$10,0)</f>
        <v>4407</v>
      </c>
      <c r="N61" s="160">
        <f>ROUND('HEM Data'!$K$11,0)</f>
        <v>4910</v>
      </c>
      <c r="O61" s="160">
        <f>ROUND('HEM Data'!$K$11,0)</f>
        <v>4910</v>
      </c>
      <c r="P61" s="160">
        <f>ROUND('HEM Data'!$K$11,0)</f>
        <v>4910</v>
      </c>
      <c r="Q61" s="160">
        <f>ROUND('HEM Data'!$K$11,0)</f>
        <v>4910</v>
      </c>
      <c r="R61" s="160">
        <f>ROUND('HEM Data'!$K$11,0)</f>
        <v>4910</v>
      </c>
      <c r="S61" s="160">
        <f>ROUND('HEM Data'!$K$11,0)</f>
        <v>4910</v>
      </c>
    </row>
    <row r="62" spans="1:19" ht="14.45">
      <c r="A62" s="164">
        <v>210000</v>
      </c>
      <c r="B62" s="160">
        <f>ROUND('HEM Data'!$L$8,0)</f>
        <v>3769</v>
      </c>
      <c r="C62" s="160">
        <f>ROUND('HEM Data'!$L$3,0)</f>
        <v>5004</v>
      </c>
      <c r="D62" s="160">
        <f>ROUND('HEM Data'!$L$4,0)</f>
        <v>5424</v>
      </c>
      <c r="E62" s="160">
        <f>ROUND('HEM Data'!$L$5,0)</f>
        <v>5708</v>
      </c>
      <c r="F62" s="160">
        <f>ROUND('HEM Data'!$L$6,0)</f>
        <v>6003</v>
      </c>
      <c r="G62" s="160">
        <f>ROUND('HEM Data'!$L$6,0)</f>
        <v>6003</v>
      </c>
      <c r="H62" s="160">
        <f>ROUND('HEM Data'!$L$6,0)</f>
        <v>6003</v>
      </c>
      <c r="I62" s="160">
        <f>ROUND('HEM Data'!$L$6,0)</f>
        <v>6003</v>
      </c>
      <c r="J62" s="160">
        <f>ROUND('HEM Data'!$L$6,0)</f>
        <v>6003</v>
      </c>
      <c r="K62" s="160">
        <f>ROUND('HEM Data'!$L$6,0)</f>
        <v>6003</v>
      </c>
      <c r="L62" s="160">
        <f>ROUND('HEM Data'!$L$9,0)</f>
        <v>4203</v>
      </c>
      <c r="M62" s="160">
        <f>ROUND('HEM Data'!$L$10,0)</f>
        <v>4705</v>
      </c>
      <c r="N62" s="160">
        <f>ROUND('HEM Data'!$L$11,0)</f>
        <v>5208</v>
      </c>
      <c r="O62" s="160">
        <f>ROUND('HEM Data'!$L$11,0)</f>
        <v>5208</v>
      </c>
      <c r="P62" s="160">
        <f>ROUND('HEM Data'!$L$11,0)</f>
        <v>5208</v>
      </c>
      <c r="Q62" s="160">
        <f>ROUND('HEM Data'!$L$11,0)</f>
        <v>5208</v>
      </c>
      <c r="R62" s="160">
        <f>ROUND('HEM Data'!$L$11,0)</f>
        <v>5208</v>
      </c>
      <c r="S62" s="160">
        <f>ROUND('HEM Data'!$L$11,0)</f>
        <v>5208</v>
      </c>
    </row>
    <row r="63" spans="1:19" ht="14.45">
      <c r="A63" s="164">
        <v>262000</v>
      </c>
      <c r="B63" s="160">
        <f>ROUND('HEM Data'!$M$8,0)</f>
        <v>4300</v>
      </c>
      <c r="C63" s="160">
        <f>ROUND('HEM Data'!$M$3,0)</f>
        <v>5534</v>
      </c>
      <c r="D63" s="160">
        <f>ROUND('HEM Data'!$M$4,0)</f>
        <v>5956</v>
      </c>
      <c r="E63" s="160">
        <f>ROUND('HEM Data'!$M$5,0)</f>
        <v>6237</v>
      </c>
      <c r="F63" s="160">
        <f>ROUND('HEM Data'!$M$6,0)</f>
        <v>6532</v>
      </c>
      <c r="G63" s="160">
        <f>ROUND('HEM Data'!$M$6,0)</f>
        <v>6532</v>
      </c>
      <c r="H63" s="160">
        <f>ROUND('HEM Data'!$M$6,0)</f>
        <v>6532</v>
      </c>
      <c r="I63" s="160">
        <f>ROUND('HEM Data'!$M$6,0)</f>
        <v>6532</v>
      </c>
      <c r="J63" s="160">
        <f>ROUND('HEM Data'!$M$6,0)</f>
        <v>6532</v>
      </c>
      <c r="K63" s="160">
        <f>ROUND('HEM Data'!$M$6,0)</f>
        <v>6532</v>
      </c>
      <c r="L63" s="160">
        <f>ROUND('HEM Data'!$M$9,0)</f>
        <v>4730</v>
      </c>
      <c r="M63" s="160">
        <f>ROUND('HEM Data'!$M$10,0)</f>
        <v>5232</v>
      </c>
      <c r="N63" s="160">
        <f>ROUND('HEM Data'!$M$11,0)</f>
        <v>5734</v>
      </c>
      <c r="O63" s="160">
        <f>ROUND('HEM Data'!$M$11,0)</f>
        <v>5734</v>
      </c>
      <c r="P63" s="160">
        <f>ROUND('HEM Data'!$M$11,0)</f>
        <v>5734</v>
      </c>
      <c r="Q63" s="160">
        <f>ROUND('HEM Data'!$M$11,0)</f>
        <v>5734</v>
      </c>
      <c r="R63" s="160">
        <f>ROUND('HEM Data'!$M$11,0)</f>
        <v>5734</v>
      </c>
      <c r="S63" s="160">
        <f>ROUND('HEM Data'!$M$11,0)</f>
        <v>5734</v>
      </c>
    </row>
    <row r="64" spans="1:19" ht="14.45">
      <c r="A64" s="164">
        <v>328000</v>
      </c>
      <c r="B64" s="160">
        <f>ROUND('HEM Data'!$N$8,0)</f>
        <v>5086</v>
      </c>
      <c r="C64" s="160">
        <f>ROUND('HEM Data'!$N$3,0)</f>
        <v>6318</v>
      </c>
      <c r="D64" s="160">
        <f>ROUND('HEM Data'!$N$4,0)</f>
        <v>6744</v>
      </c>
      <c r="E64" s="160">
        <f>ROUND('HEM Data'!$N$5,0)</f>
        <v>7020</v>
      </c>
      <c r="F64" s="160">
        <f>ROUND('HEM Data'!$N$6,0)</f>
        <v>7314</v>
      </c>
      <c r="G64" s="160">
        <f>ROUND('HEM Data'!$N$6,0)</f>
        <v>7314</v>
      </c>
      <c r="H64" s="160">
        <f>ROUND('HEM Data'!$N$6,0)</f>
        <v>7314</v>
      </c>
      <c r="I64" s="160">
        <f>ROUND('HEM Data'!$N$6,0)</f>
        <v>7314</v>
      </c>
      <c r="J64" s="160">
        <f>ROUND('HEM Data'!$N$6,0)</f>
        <v>7314</v>
      </c>
      <c r="K64" s="160">
        <f>ROUND('HEM Data'!$N$6,0)</f>
        <v>7314</v>
      </c>
      <c r="L64" s="160">
        <f>ROUND('HEM Data'!$N$9,0)</f>
        <v>5510</v>
      </c>
      <c r="M64" s="160">
        <f>ROUND('HEM Data'!$N$10,0)</f>
        <v>6011</v>
      </c>
      <c r="N64" s="160">
        <f>ROUND('HEM Data'!$N$11,0)</f>
        <v>6512</v>
      </c>
      <c r="O64" s="160">
        <f>ROUND('HEM Data'!$N$11,0)</f>
        <v>6512</v>
      </c>
      <c r="P64" s="160">
        <f>ROUND('HEM Data'!$N$11,0)</f>
        <v>6512</v>
      </c>
      <c r="Q64" s="160">
        <f>ROUND('HEM Data'!$N$11,0)</f>
        <v>6512</v>
      </c>
      <c r="R64" s="160">
        <f>ROUND('HEM Data'!$N$11,0)</f>
        <v>6512</v>
      </c>
      <c r="S64" s="160">
        <f>ROUND('HEM Data'!$N$11,0)</f>
        <v>6512</v>
      </c>
    </row>
    <row r="65" spans="1:19" ht="14.45">
      <c r="A65" s="164">
        <v>394000</v>
      </c>
      <c r="B65" s="160">
        <f>ROUND('HEM Data'!$O$8,0)</f>
        <v>5153</v>
      </c>
      <c r="C65" s="160">
        <f>ROUND('HEM Data'!$O$3,0)</f>
        <v>6386</v>
      </c>
      <c r="D65" s="160">
        <f>ROUND('HEM Data'!$O$4,0)</f>
        <v>6812</v>
      </c>
      <c r="E65" s="160">
        <f>ROUND('HEM Data'!$O$5,0)</f>
        <v>7087</v>
      </c>
      <c r="F65" s="160">
        <f>ROUND('HEM Data'!$O$6,0)</f>
        <v>7381</v>
      </c>
      <c r="G65" s="160">
        <f>ROUND('HEM Data'!$O$6,0)</f>
        <v>7381</v>
      </c>
      <c r="H65" s="160">
        <f>ROUND('HEM Data'!$O$6,0)</f>
        <v>7381</v>
      </c>
      <c r="I65" s="160">
        <f>ROUND('HEM Data'!$O$6,0)</f>
        <v>7381</v>
      </c>
      <c r="J65" s="160">
        <f>ROUND('HEM Data'!$O$6,0)</f>
        <v>7381</v>
      </c>
      <c r="K65" s="160">
        <f>ROUND('HEM Data'!$O$6,0)</f>
        <v>7381</v>
      </c>
      <c r="L65" s="160">
        <f>ROUND('HEM Data'!$O$9,0)</f>
        <v>5577</v>
      </c>
      <c r="M65" s="160">
        <f>ROUND('HEM Data'!$O$10,0)</f>
        <v>6078</v>
      </c>
      <c r="N65" s="160">
        <f>ROUND('HEM Data'!$O$11,0)</f>
        <v>6579</v>
      </c>
      <c r="O65" s="160">
        <f>ROUND('HEM Data'!$O$11,0)</f>
        <v>6579</v>
      </c>
      <c r="P65" s="160">
        <f>ROUND('HEM Data'!$O$11,0)</f>
        <v>6579</v>
      </c>
      <c r="Q65" s="160">
        <f>ROUND('HEM Data'!$O$11,0)</f>
        <v>6579</v>
      </c>
      <c r="R65" s="160">
        <f>ROUND('HEM Data'!$O$11,0)</f>
        <v>6579</v>
      </c>
      <c r="S65" s="160">
        <f>ROUND('HEM Data'!$O$11,0)</f>
        <v>6579</v>
      </c>
    </row>
    <row r="66" spans="1:19" ht="14.45">
      <c r="A66" s="164"/>
      <c r="B66" s="160">
        <f>ROUND('HEM Data'!$P$8,0)</f>
        <v>0</v>
      </c>
      <c r="C66" s="160">
        <f>ROUND('HEM Data'!$P$3,0)</f>
        <v>0</v>
      </c>
      <c r="D66" s="160">
        <f>ROUND('HEM Data'!$P$4,0)</f>
        <v>0</v>
      </c>
      <c r="E66" s="160">
        <f>ROUND('HEM Data'!$P$5,0)</f>
        <v>0</v>
      </c>
      <c r="F66" s="160">
        <f>ROUND('HEM Data'!$P$6,0)</f>
        <v>0</v>
      </c>
      <c r="G66" s="160">
        <f>ROUND('HEM Data'!$P$6,0)</f>
        <v>0</v>
      </c>
      <c r="H66" s="160">
        <f>ROUND('HEM Data'!$P$6,0)</f>
        <v>0</v>
      </c>
      <c r="I66" s="160">
        <f>ROUND('HEM Data'!$P$6,0)</f>
        <v>0</v>
      </c>
      <c r="J66" s="160">
        <f>ROUND('HEM Data'!$P$6,0)</f>
        <v>0</v>
      </c>
      <c r="K66" s="160">
        <f>ROUND('HEM Data'!$P$6,0)</f>
        <v>0</v>
      </c>
      <c r="L66" s="160">
        <f>ROUND('HEM Data'!$P$9,0)</f>
        <v>0</v>
      </c>
      <c r="M66" s="160">
        <f>ROUND('HEM Data'!$P$10,0)</f>
        <v>0</v>
      </c>
      <c r="N66" s="160">
        <f>ROUND('HEM Data'!$P$11,0)</f>
        <v>0</v>
      </c>
      <c r="O66" s="160">
        <f>ROUND('HEM Data'!$P$11,0)</f>
        <v>0</v>
      </c>
      <c r="P66" s="160">
        <f>ROUND('HEM Data'!$P$11,0)</f>
        <v>0</v>
      </c>
      <c r="Q66" s="160">
        <f>ROUND('HEM Data'!$P$11,0)</f>
        <v>0</v>
      </c>
      <c r="R66" s="160">
        <f>ROUND('HEM Data'!$P$11,0)</f>
        <v>0</v>
      </c>
      <c r="S66" s="160">
        <f>ROUND('HEM Data'!$P$11,0)</f>
        <v>0</v>
      </c>
    </row>
    <row r="67" spans="1:19" ht="14.45">
      <c r="A67" s="164"/>
      <c r="B67" s="160">
        <f>ROUND('HEM Data'!$Q$8,0)</f>
        <v>0</v>
      </c>
      <c r="C67" s="160">
        <f>ROUND('HEM Data'!$Q$3,0)</f>
        <v>0</v>
      </c>
      <c r="D67" s="160">
        <f>ROUND('HEM Data'!$Q$4,0)</f>
        <v>0</v>
      </c>
      <c r="E67" s="160">
        <f>ROUND('HEM Data'!$Q$5,0)</f>
        <v>0</v>
      </c>
      <c r="F67" s="160">
        <f>ROUND('HEM Data'!$Q$6,0)</f>
        <v>0</v>
      </c>
      <c r="G67" s="160">
        <f>ROUND('HEM Data'!$Q$6,0)</f>
        <v>0</v>
      </c>
      <c r="H67" s="160">
        <f>ROUND('HEM Data'!$Q$6,0)</f>
        <v>0</v>
      </c>
      <c r="I67" s="160">
        <f>ROUND('HEM Data'!$Q$6,0)</f>
        <v>0</v>
      </c>
      <c r="J67" s="160">
        <f>ROUND('HEM Data'!$Q$6,0)</f>
        <v>0</v>
      </c>
      <c r="K67" s="160">
        <f>ROUND('HEM Data'!$Q$6,0)</f>
        <v>0</v>
      </c>
      <c r="L67" s="160">
        <f>ROUND('HEM Data'!$Q$9,0)</f>
        <v>0</v>
      </c>
      <c r="M67" s="160">
        <f>ROUND('HEM Data'!$Q$10,0)</f>
        <v>0</v>
      </c>
      <c r="N67" s="160">
        <f>ROUND('HEM Data'!$Q$11,0)</f>
        <v>0</v>
      </c>
      <c r="O67" s="160">
        <f>ROUND('HEM Data'!$Q$11,0)</f>
        <v>0</v>
      </c>
      <c r="P67" s="160">
        <f>ROUND('HEM Data'!$Q$11,0)</f>
        <v>0</v>
      </c>
      <c r="Q67" s="160">
        <f>ROUND('HEM Data'!$Q$11,0)</f>
        <v>0</v>
      </c>
      <c r="R67" s="160">
        <f>ROUND('HEM Data'!$Q$11,0)</f>
        <v>0</v>
      </c>
      <c r="S67" s="160">
        <f>ROUND('HEM Data'!$Q$11,0)</f>
        <v>0</v>
      </c>
    </row>
    <row r="68" spans="1:19" ht="14.45">
      <c r="A68" s="164"/>
      <c r="B68" s="160">
        <f>ROUND('HEM Data'!$R$8,0)</f>
        <v>0</v>
      </c>
      <c r="C68" s="160">
        <f>ROUND('HEM Data'!$R$3,0)</f>
        <v>0</v>
      </c>
      <c r="D68" s="160">
        <f>ROUND('HEM Data'!$R$4,0)</f>
        <v>0</v>
      </c>
      <c r="E68" s="160">
        <f>ROUND('HEM Data'!$R$5,0)</f>
        <v>0</v>
      </c>
      <c r="F68" s="160">
        <f>ROUND('HEM Data'!$R$6,0)</f>
        <v>0</v>
      </c>
      <c r="G68" s="160">
        <f>ROUND('HEM Data'!$R$6,0)</f>
        <v>0</v>
      </c>
      <c r="H68" s="160">
        <f>ROUND('HEM Data'!$R$6,0)</f>
        <v>0</v>
      </c>
      <c r="I68" s="160">
        <f>ROUND('HEM Data'!$R$6,0)</f>
        <v>0</v>
      </c>
      <c r="J68" s="160">
        <f>ROUND('HEM Data'!$R$6,0)</f>
        <v>0</v>
      </c>
      <c r="K68" s="160">
        <f>ROUND('HEM Data'!$R$6,0)</f>
        <v>0</v>
      </c>
      <c r="L68" s="160">
        <f>ROUND('HEM Data'!$R$9,0)</f>
        <v>0</v>
      </c>
      <c r="M68" s="160">
        <f>ROUND('HEM Data'!$R$10,0)</f>
        <v>0</v>
      </c>
      <c r="N68" s="160">
        <f>ROUND('HEM Data'!$R$11,0)</f>
        <v>0</v>
      </c>
      <c r="O68" s="160">
        <f>ROUND('HEM Data'!$R$11,0)</f>
        <v>0</v>
      </c>
      <c r="P68" s="160">
        <f>ROUND('HEM Data'!$R$11,0)</f>
        <v>0</v>
      </c>
      <c r="Q68" s="160">
        <f>ROUND('HEM Data'!$R$11,0)</f>
        <v>0</v>
      </c>
      <c r="R68" s="160">
        <f>ROUND('HEM Data'!$R$11,0)</f>
        <v>0</v>
      </c>
      <c r="S68" s="160">
        <f>ROUND('HEM Data'!$R$11,0)</f>
        <v>0</v>
      </c>
    </row>
    <row r="69" spans="1:19" ht="14.45">
      <c r="A69" s="26"/>
      <c r="B69" s="35"/>
      <c r="C69" s="35"/>
      <c r="D69" s="35"/>
      <c r="E69" s="35"/>
      <c r="F69" s="35"/>
      <c r="G69" s="35"/>
      <c r="H69" s="35"/>
      <c r="I69" s="35"/>
      <c r="J69" s="35"/>
      <c r="K69" s="35"/>
      <c r="L69" s="35"/>
      <c r="M69" s="35"/>
      <c r="N69" s="35"/>
      <c r="O69" s="35"/>
      <c r="P69" s="35"/>
      <c r="Q69" s="35"/>
      <c r="R69" s="35"/>
      <c r="S69" s="35"/>
    </row>
    <row r="70" spans="1:19" ht="14.45">
      <c r="A70" s="26"/>
      <c r="B70" s="35"/>
      <c r="C70" s="35"/>
      <c r="D70" s="35"/>
      <c r="E70" s="35"/>
      <c r="F70" s="35"/>
      <c r="G70" s="35"/>
      <c r="H70" s="35"/>
      <c r="I70" s="35"/>
      <c r="J70" s="35"/>
      <c r="K70" s="35"/>
      <c r="L70" s="35"/>
      <c r="M70" s="35"/>
      <c r="N70" s="35"/>
      <c r="O70" s="35"/>
      <c r="P70" s="35"/>
      <c r="Q70" s="35"/>
      <c r="R70" s="35"/>
      <c r="S70" s="35"/>
    </row>
    <row r="71" spans="1:19" ht="14.45">
      <c r="A71" s="26"/>
      <c r="B71" s="35"/>
      <c r="C71" s="35"/>
      <c r="D71" s="35"/>
      <c r="E71" s="35"/>
      <c r="F71" s="35"/>
      <c r="G71" s="35"/>
      <c r="H71" s="35"/>
      <c r="I71" s="35"/>
      <c r="J71" s="35"/>
      <c r="K71" s="35"/>
      <c r="L71" s="35"/>
      <c r="M71" s="35"/>
      <c r="N71" s="35"/>
      <c r="O71" s="35"/>
      <c r="P71" s="35"/>
      <c r="Q71" s="35"/>
      <c r="R71" s="35"/>
      <c r="S71" s="35"/>
    </row>
    <row r="72" spans="1:19" ht="14.45">
      <c r="A72" s="26"/>
      <c r="B72" s="35"/>
      <c r="C72" s="35"/>
      <c r="D72" s="35"/>
      <c r="E72" s="35"/>
      <c r="F72" s="35"/>
      <c r="G72" s="35"/>
      <c r="H72" s="35"/>
      <c r="I72" s="35"/>
      <c r="J72" s="35"/>
      <c r="K72" s="35"/>
      <c r="L72" s="35"/>
      <c r="M72" s="35"/>
      <c r="N72" s="35"/>
      <c r="O72" s="35"/>
      <c r="P72" s="35"/>
      <c r="Q72" s="35"/>
      <c r="R72" s="35"/>
      <c r="S72" s="35"/>
    </row>
    <row r="73" spans="1:19" ht="14.45">
      <c r="A73" s="26"/>
      <c r="B73" s="35"/>
      <c r="C73" s="35"/>
      <c r="D73" s="35"/>
      <c r="E73" s="35"/>
      <c r="F73" s="35"/>
      <c r="G73" s="35"/>
      <c r="H73" s="35"/>
      <c r="I73" s="35"/>
      <c r="J73" s="35"/>
      <c r="K73" s="35"/>
      <c r="L73" s="35"/>
      <c r="M73" s="35"/>
      <c r="N73" s="35"/>
      <c r="O73" s="35"/>
      <c r="P73" s="35"/>
      <c r="Q73" s="35"/>
      <c r="R73" s="35"/>
      <c r="S73" s="35"/>
    </row>
    <row r="74" spans="1:19" ht="14.45">
      <c r="A74" s="26"/>
      <c r="B74" s="35"/>
      <c r="C74" s="35"/>
      <c r="D74" s="35"/>
      <c r="E74" s="35"/>
      <c r="F74" s="35"/>
      <c r="G74" s="35"/>
      <c r="H74" s="35"/>
      <c r="I74" s="35"/>
      <c r="J74" s="35"/>
      <c r="K74" s="35"/>
      <c r="L74" s="35"/>
      <c r="M74" s="35"/>
      <c r="N74" s="35"/>
      <c r="O74" s="35"/>
      <c r="P74" s="35"/>
      <c r="Q74" s="35"/>
      <c r="R74" s="35"/>
      <c r="S74" s="35"/>
    </row>
    <row r="75" spans="1:19" ht="14.45">
      <c r="A75" s="26"/>
      <c r="B75" s="35"/>
      <c r="C75" s="35"/>
      <c r="D75" s="35"/>
      <c r="E75" s="35"/>
      <c r="F75" s="35"/>
      <c r="G75" s="35"/>
      <c r="H75" s="35"/>
      <c r="I75" s="35"/>
      <c r="J75" s="35"/>
      <c r="K75" s="35"/>
      <c r="L75" s="35"/>
      <c r="M75" s="35"/>
      <c r="N75" s="35"/>
      <c r="O75" s="35"/>
      <c r="P75" s="35"/>
      <c r="Q75" s="35"/>
      <c r="R75" s="35"/>
      <c r="S75" s="35"/>
    </row>
    <row r="76" spans="1:19" ht="14.45">
      <c r="A76" s="26"/>
      <c r="B76" s="35"/>
      <c r="C76" s="35"/>
      <c r="D76" s="35"/>
      <c r="E76" s="35"/>
      <c r="F76" s="35"/>
      <c r="G76" s="35"/>
      <c r="H76" s="35"/>
      <c r="I76" s="35"/>
      <c r="J76" s="35"/>
      <c r="K76" s="35"/>
      <c r="L76" s="35"/>
      <c r="M76" s="35"/>
      <c r="N76" s="35"/>
      <c r="O76" s="35"/>
      <c r="P76" s="35"/>
      <c r="Q76" s="35"/>
      <c r="R76" s="35"/>
      <c r="S76" s="35"/>
    </row>
    <row r="77" spans="1:19" ht="14.45">
      <c r="A77" s="26"/>
      <c r="B77" s="35"/>
      <c r="C77" s="35"/>
      <c r="D77" s="35"/>
      <c r="E77" s="35"/>
      <c r="F77" s="35"/>
      <c r="G77" s="35"/>
      <c r="H77" s="35"/>
      <c r="I77" s="35"/>
      <c r="J77" s="35"/>
      <c r="K77" s="35"/>
      <c r="L77" s="35"/>
      <c r="M77" s="35"/>
      <c r="N77" s="35"/>
      <c r="O77" s="35"/>
      <c r="P77" s="35"/>
      <c r="Q77" s="35"/>
      <c r="R77" s="35"/>
      <c r="S77" s="35"/>
    </row>
  </sheetData>
  <dataConsolidate/>
  <mergeCells count="9">
    <mergeCell ref="A1:E1"/>
    <mergeCell ref="A3:B3"/>
    <mergeCell ref="B7:C7"/>
    <mergeCell ref="A16:B16"/>
    <mergeCell ref="F7:G7"/>
    <mergeCell ref="D7:E7"/>
    <mergeCell ref="A14:B14"/>
    <mergeCell ref="A8:A11"/>
    <mergeCell ref="A15:B15"/>
  </mergeCells>
  <phoneticPr fontId="0" type="noConversion"/>
  <printOptions horizontalCentered="1"/>
  <pageMargins left="0.31496062992125984" right="0.31496062992125984" top="0.62992125984251968" bottom="0.39370078740157483" header="0.35433070866141736" footer="0"/>
  <pageSetup paperSize="9" scale="76"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3"/>
  <sheetViews>
    <sheetView topLeftCell="A4" workbookViewId="0">
      <selection activeCell="H7" sqref="H7"/>
    </sheetView>
  </sheetViews>
  <sheetFormatPr defaultRowHeight="13.15"/>
  <cols>
    <col min="1" max="1" width="23.7109375" customWidth="1"/>
    <col min="2" max="2" width="23.5703125" customWidth="1"/>
    <col min="3" max="3" width="18.5703125" customWidth="1"/>
  </cols>
  <sheetData>
    <row r="1" spans="1:11">
      <c r="A1" s="461" t="s">
        <v>224</v>
      </c>
      <c r="B1" s="478"/>
      <c r="C1" s="462"/>
    </row>
    <row r="2" spans="1:11">
      <c r="A2" s="1" t="s">
        <v>225</v>
      </c>
      <c r="B2" s="1" t="s">
        <v>196</v>
      </c>
      <c r="C2" s="1" t="s">
        <v>198</v>
      </c>
    </row>
    <row r="3" spans="1:11">
      <c r="A3" s="272">
        <v>0</v>
      </c>
      <c r="B3" s="273">
        <v>0</v>
      </c>
      <c r="C3" s="274">
        <v>0</v>
      </c>
    </row>
    <row r="4" spans="1:11">
      <c r="A4" s="275">
        <v>18201</v>
      </c>
      <c r="B4" s="276">
        <f>(A4-A3)*C3+B3</f>
        <v>0</v>
      </c>
      <c r="C4" s="277">
        <v>0.16</v>
      </c>
    </row>
    <row r="5" spans="1:11">
      <c r="A5" s="275">
        <v>45001</v>
      </c>
      <c r="B5" s="276">
        <f>(A5-A4)*C4+B4</f>
        <v>4288</v>
      </c>
      <c r="C5" s="277">
        <v>0.3</v>
      </c>
    </row>
    <row r="6" spans="1:11">
      <c r="A6" s="275">
        <v>135001</v>
      </c>
      <c r="B6" s="276">
        <f>(A6-A5)*C5+B5</f>
        <v>31288</v>
      </c>
      <c r="C6" s="277">
        <v>0.37</v>
      </c>
    </row>
    <row r="7" spans="1:11">
      <c r="A7" s="278">
        <v>190001</v>
      </c>
      <c r="B7" s="276">
        <f>(A7-A6)*C6+B6</f>
        <v>51638</v>
      </c>
      <c r="C7" s="279">
        <v>0.45</v>
      </c>
    </row>
    <row r="8" spans="1:11">
      <c r="A8" s="514" t="s">
        <v>201</v>
      </c>
      <c r="B8" s="515"/>
      <c r="C8" s="190">
        <v>0.02</v>
      </c>
    </row>
    <row r="9" spans="1:11">
      <c r="A9" s="514" t="s">
        <v>226</v>
      </c>
      <c r="B9" s="515"/>
      <c r="C9" s="190">
        <v>0.3</v>
      </c>
    </row>
    <row r="10" spans="1:11">
      <c r="A10" s="514" t="s">
        <v>180</v>
      </c>
      <c r="B10" s="515"/>
      <c r="C10" s="190">
        <v>0.8</v>
      </c>
      <c r="D10" s="476" t="s">
        <v>181</v>
      </c>
      <c r="E10" s="477"/>
      <c r="F10" s="477"/>
      <c r="G10" s="190">
        <v>0.6</v>
      </c>
    </row>
    <row r="11" spans="1:11">
      <c r="A11" s="514" t="s">
        <v>227</v>
      </c>
      <c r="B11" s="515"/>
      <c r="C11" s="190">
        <v>0.2</v>
      </c>
    </row>
    <row r="12" spans="1:11">
      <c r="A12" s="514" t="s">
        <v>228</v>
      </c>
      <c r="B12" s="515"/>
      <c r="C12" s="190">
        <v>7.2499999999999995E-2</v>
      </c>
    </row>
    <row r="13" spans="1:11">
      <c r="A13" s="166" t="s">
        <v>229</v>
      </c>
      <c r="B13" s="165"/>
      <c r="C13" s="280">
        <f>Main!F18</f>
        <v>0</v>
      </c>
      <c r="D13" s="167" t="s">
        <v>230</v>
      </c>
      <c r="F13" s="168">
        <v>360</v>
      </c>
      <c r="G13" s="168">
        <v>300</v>
      </c>
      <c r="H13" s="168">
        <v>240</v>
      </c>
      <c r="I13" s="168">
        <v>180</v>
      </c>
      <c r="J13" s="168">
        <v>120</v>
      </c>
      <c r="K13" s="168">
        <v>60</v>
      </c>
    </row>
    <row r="14" spans="1:11">
      <c r="A14" s="166" t="s">
        <v>231</v>
      </c>
      <c r="B14" s="165"/>
      <c r="C14" s="280">
        <f>Main!F19</f>
        <v>0</v>
      </c>
      <c r="D14" s="167" t="s">
        <v>230</v>
      </c>
      <c r="F14" s="168">
        <v>300</v>
      </c>
      <c r="G14" s="168">
        <v>240</v>
      </c>
      <c r="H14" s="168">
        <v>180</v>
      </c>
      <c r="I14" s="168">
        <v>120</v>
      </c>
      <c r="J14" s="168">
        <v>60</v>
      </c>
      <c r="K14" s="168"/>
    </row>
    <row r="15" spans="1:11">
      <c r="A15" s="461" t="s">
        <v>232</v>
      </c>
      <c r="B15" s="516"/>
      <c r="C15" s="515"/>
    </row>
    <row r="16" spans="1:11">
      <c r="A16" s="459" t="s">
        <v>233</v>
      </c>
      <c r="B16" s="517"/>
      <c r="C16" s="37" t="s">
        <v>234</v>
      </c>
    </row>
    <row r="17" spans="1:4">
      <c r="A17" s="459" t="s">
        <v>235</v>
      </c>
      <c r="B17" s="517"/>
      <c r="C17" s="37" t="s">
        <v>234</v>
      </c>
    </row>
    <row r="18" spans="1:4">
      <c r="A18" s="518" t="s">
        <v>236</v>
      </c>
      <c r="B18" s="517"/>
      <c r="C18" s="37" t="s">
        <v>234</v>
      </c>
    </row>
    <row r="19" spans="1:4">
      <c r="A19" s="459" t="s">
        <v>139</v>
      </c>
      <c r="B19" s="460"/>
      <c r="C19" s="281">
        <f>(Living_Expenses)*12</f>
        <v>53748</v>
      </c>
      <c r="D19" s="281">
        <f>Living_Exp_for_ARA*12</f>
        <v>53748</v>
      </c>
    </row>
    <row r="20" spans="1:4">
      <c r="A20" s="461" t="s">
        <v>237</v>
      </c>
      <c r="B20" s="462"/>
      <c r="C20" s="190">
        <v>3.2000000000000001E-2</v>
      </c>
    </row>
    <row r="21" spans="1:4">
      <c r="A21" s="461" t="s">
        <v>238</v>
      </c>
      <c r="B21" s="462"/>
      <c r="C21" s="190">
        <v>3.5000000000000003E-2</v>
      </c>
    </row>
    <row r="22" spans="1:4">
      <c r="A22" s="461" t="s">
        <v>239</v>
      </c>
      <c r="B22" s="462"/>
      <c r="C22" s="190">
        <v>3.7499999999999999E-2</v>
      </c>
    </row>
    <row r="23" spans="1:4">
      <c r="A23" s="461" t="s">
        <v>240</v>
      </c>
      <c r="B23" s="462"/>
      <c r="C23" s="190">
        <v>0.01</v>
      </c>
    </row>
    <row r="24" spans="1:4">
      <c r="A24" s="474" t="s">
        <v>241</v>
      </c>
      <c r="B24" s="475"/>
      <c r="C24" s="282">
        <f>MAX((Minimum_Servicing_Test_Rate+SVR),(Minimum_Servicing_Test_Rate+Loan_Interest_Rate))</f>
        <v>0.12490000000000001</v>
      </c>
    </row>
    <row r="25" spans="1:4">
      <c r="A25" s="463" t="str">
        <f>+"Standard Variable Rate is set to "&amp;TEXT(SVR,"##0.00%")&amp;"p.a."</f>
        <v>Standard Variable Rate is set to 5.00%p.a.</v>
      </c>
      <c r="B25" s="464"/>
      <c r="C25" s="465"/>
    </row>
    <row r="26" spans="1:4">
      <c r="A26" s="470" t="str">
        <f>+"Proposed Loan Interest Rate is "&amp;TEXT(Loan_Interest_Rate,"##0.00%")&amp;"p.a."</f>
        <v>Proposed Loan Interest Rate is 9.99%p.a.</v>
      </c>
      <c r="B26" s="471"/>
      <c r="C26" s="472"/>
    </row>
    <row r="27" spans="1:4">
      <c r="A27" s="470" t="str">
        <f>+"Buffer is set to "&amp;TEXT(Minimum_Servicing_Test_Rate,"##0.00%")&amp;"p.a."</f>
        <v>Buffer is set to 2.50%p.a.</v>
      </c>
      <c r="B27" s="471"/>
      <c r="C27" s="472"/>
    </row>
    <row r="28" spans="1:4">
      <c r="A28" s="467" t="str">
        <f>+"Interest Rate used in this ARA Calculation is "&amp;TEXT(NSRInterestRate,"##0.00%")&amp;"p.a."</f>
        <v>Interest Rate used in this ARA Calculation is 12.49%p.a.</v>
      </c>
      <c r="B28" s="468"/>
      <c r="C28" s="469"/>
    </row>
    <row r="29" spans="1:4">
      <c r="A29" s="518" t="s">
        <v>242</v>
      </c>
      <c r="B29" s="517"/>
      <c r="C29" s="283">
        <f>IF((TOTAL_COSTS-Applicable_Living_Expenses)=0,0,ROUND((Total_Net_Annual_Income-Applicable_Living_Expenses)/(TOTAL_COSTS-Applicable_Living_Expenses),6))</f>
        <v>-2.5074390000000002</v>
      </c>
    </row>
    <row r="30" spans="1:4">
      <c r="A30" s="459" t="s">
        <v>243</v>
      </c>
      <c r="B30" s="517"/>
      <c r="C30" s="2" t="str">
        <f>TEXT(ROUND(NSRCalculated,4),"##0.0000")&amp;":1"</f>
        <v>-2.5074:1</v>
      </c>
    </row>
    <row r="31" spans="1:4">
      <c r="A31" s="459" t="s">
        <v>244</v>
      </c>
      <c r="B31" s="517"/>
      <c r="C31" s="284">
        <v>1</v>
      </c>
    </row>
    <row r="32" spans="1:4">
      <c r="A32" s="459" t="s">
        <v>245</v>
      </c>
      <c r="B32" s="517"/>
      <c r="C32" s="2" t="str">
        <f>TEXT(ROUND(NSRRequired,4),"##0.0000")&amp;":1"</f>
        <v>1.0000:1</v>
      </c>
    </row>
    <row r="33" spans="1:5">
      <c r="A33" s="466" t="s">
        <v>246</v>
      </c>
      <c r="B33" s="466"/>
      <c r="C33" s="3">
        <f>IF(NSRCalculated&lt;NSRRequired,0,1)</f>
        <v>0</v>
      </c>
    </row>
    <row r="34" spans="1:5">
      <c r="A34" s="514" t="s">
        <v>86</v>
      </c>
      <c r="B34" s="516"/>
      <c r="C34" s="515"/>
    </row>
    <row r="35" spans="1:5">
      <c r="A35" s="473" t="s">
        <v>247</v>
      </c>
      <c r="B35" s="473"/>
      <c r="C35" s="285">
        <f>NSRRequired+0.00001</f>
        <v>1.0000100000000001</v>
      </c>
    </row>
    <row r="36" spans="1:5">
      <c r="A36" s="466" t="s">
        <v>248</v>
      </c>
      <c r="B36" s="473"/>
      <c r="C36" s="286">
        <f>ROUNDUP((((Total_Net_Annual_Income-(Living_Exp_for_ARA*12))/C35)-(Other_Commits_Total_Monthly_Payment*12)),0)</f>
        <v>38424</v>
      </c>
      <c r="E36" s="36"/>
    </row>
    <row r="37" spans="1:5">
      <c r="A37" s="519" t="s">
        <v>249</v>
      </c>
      <c r="B37" s="519"/>
      <c r="C37" s="286">
        <f>ROUNDDOWN(C36/12,0)</f>
        <v>3202</v>
      </c>
    </row>
    <row r="38" spans="1:5">
      <c r="A38" s="519" t="s">
        <v>250</v>
      </c>
      <c r="B38" s="519"/>
      <c r="C38" s="286">
        <f>ROUNDDOWN(IF(C37&gt;=0,-PV(CalculationsReference!G9/12,CalculationsReference!G10*12,C37,0,0),0),0)</f>
        <v>178724</v>
      </c>
    </row>
    <row r="39" spans="1:5">
      <c r="A39" s="459" t="s">
        <v>251</v>
      </c>
      <c r="B39" s="460"/>
      <c r="C39" s="287">
        <f>ROUNDDOWN(C38/10000,1)*10000</f>
        <v>178000</v>
      </c>
    </row>
    <row r="40" spans="1:5">
      <c r="A40" s="518" t="s">
        <v>252</v>
      </c>
      <c r="B40" s="517"/>
      <c r="C40" s="287">
        <v>2500000</v>
      </c>
    </row>
    <row r="41" spans="1:5">
      <c r="A41" s="519" t="s">
        <v>86</v>
      </c>
      <c r="B41" s="519"/>
      <c r="C41" s="287">
        <f>MIN(C40,C39)</f>
        <v>178000</v>
      </c>
    </row>
    <row r="42" spans="1:5">
      <c r="A42" s="514" t="s">
        <v>253</v>
      </c>
      <c r="B42" s="515"/>
      <c r="C42" s="288">
        <f>IF(Main!E40=0,0,ROUND(IF(Main!E40&gt;0,(Main!F52+Main!F50-Main!F40)/Main!E40,""),4))</f>
        <v>2.0400000000000001E-2</v>
      </c>
    </row>
    <row r="43" spans="1:5">
      <c r="A43" s="518" t="s">
        <v>254</v>
      </c>
      <c r="B43" s="517"/>
      <c r="C43" s="288"/>
    </row>
    <row r="44" spans="1:5">
      <c r="A44" s="518" t="s">
        <v>255</v>
      </c>
      <c r="B44" s="517"/>
      <c r="C44" s="289">
        <v>0</v>
      </c>
    </row>
    <row r="45" spans="1:5">
      <c r="A45" s="514" t="s">
        <v>256</v>
      </c>
      <c r="B45" s="515"/>
      <c r="C45" s="286">
        <f>Total_Net_Annual_Income-Applicable_Living_Expenses-Other_Commits_Total_Annual</f>
        <v>38424</v>
      </c>
    </row>
    <row r="46" spans="1:5">
      <c r="A46" s="41" t="s">
        <v>257</v>
      </c>
      <c r="B46" s="290"/>
      <c r="C46" s="286">
        <f>(ARA-(NSR_Rate_Monthly_Payment*12))/12</f>
        <v>2995</v>
      </c>
    </row>
    <row r="47" spans="1:5">
      <c r="A47" s="41" t="s">
        <v>258</v>
      </c>
      <c r="B47" s="290"/>
      <c r="C47" s="291">
        <f>IF(ARA_MONTHLY&gt;=0,1,0)</f>
        <v>1</v>
      </c>
    </row>
    <row r="48" spans="1:5">
      <c r="A48" s="514" t="s">
        <v>259</v>
      </c>
      <c r="B48" s="516"/>
      <c r="C48" s="515"/>
    </row>
    <row r="49" spans="1:9">
      <c r="A49" s="518" t="s">
        <v>260</v>
      </c>
      <c r="B49" s="517"/>
      <c r="C49" s="289" t="b">
        <f>AND(Loan_Investment=0,Other_Loans_Inv_Amount=0,Other_Loans_Inv_Payment=0,Applicant1_GARental=0,Applicant2_GARental=0,Applicant3_GARental=0,Applicant4_GARental=0,Applicant5_GARental=0,Applicant6_GARental=0,Company_NPBT_GARental=0)</f>
        <v>1</v>
      </c>
    </row>
    <row r="50" spans="1:9">
      <c r="A50" s="518" t="s">
        <v>261</v>
      </c>
      <c r="B50" s="517"/>
      <c r="C50" s="289" t="b">
        <v>0</v>
      </c>
    </row>
    <row r="51" spans="1:9">
      <c r="A51" s="518" t="s">
        <v>262</v>
      </c>
      <c r="B51" s="517"/>
      <c r="C51" s="457" t="str">
        <f>IF(C49=TRUE,"Maximum Loan Amount",IF(C50=TRUE,"Maximum Loan Amount","Maximum Loan Amount *"))</f>
        <v>Maximum Loan Amount</v>
      </c>
      <c r="D51" s="458"/>
    </row>
    <row r="52" spans="1:9">
      <c r="A52" s="1" t="s">
        <v>263</v>
      </c>
      <c r="B52" s="1">
        <f>SUM(B53:B53)</f>
        <v>0</v>
      </c>
      <c r="C52" s="451" t="s">
        <v>264</v>
      </c>
      <c r="D52" s="452"/>
      <c r="E52" s="452"/>
      <c r="F52" s="452"/>
      <c r="G52" s="452"/>
      <c r="H52" s="452"/>
      <c r="I52" s="453"/>
    </row>
    <row r="53" spans="1:9">
      <c r="A53" s="184" t="s">
        <v>265</v>
      </c>
      <c r="B53" s="184">
        <f>IF(Company_NPBT_GAIncomePY=0,0,IF((Company_NPBT_GAIncomeMRY/Company_NPBT_GAIncomePY)&gt;1.25,1,0))</f>
        <v>0</v>
      </c>
      <c r="C53" s="454" t="s">
        <v>266</v>
      </c>
      <c r="D53" s="455"/>
      <c r="E53" s="455"/>
      <c r="F53" s="455"/>
      <c r="G53" s="455"/>
      <c r="H53" s="455"/>
      <c r="I53" s="456"/>
    </row>
  </sheetData>
  <mergeCells count="45">
    <mergeCell ref="D10:F10"/>
    <mergeCell ref="A1:C1"/>
    <mergeCell ref="A15:C15"/>
    <mergeCell ref="A10:B10"/>
    <mergeCell ref="A16:B16"/>
    <mergeCell ref="A8:B8"/>
    <mergeCell ref="A9:B9"/>
    <mergeCell ref="A11:B11"/>
    <mergeCell ref="A12:B12"/>
    <mergeCell ref="A17:B17"/>
    <mergeCell ref="A18:B18"/>
    <mergeCell ref="A24:B24"/>
    <mergeCell ref="A20:B20"/>
    <mergeCell ref="A19:B19"/>
    <mergeCell ref="A21:B21"/>
    <mergeCell ref="A22:B22"/>
    <mergeCell ref="A41:B41"/>
    <mergeCell ref="A36:B36"/>
    <mergeCell ref="A35:B35"/>
    <mergeCell ref="A45:B45"/>
    <mergeCell ref="A42:B42"/>
    <mergeCell ref="A37:B37"/>
    <mergeCell ref="A43:B43"/>
    <mergeCell ref="A44:B44"/>
    <mergeCell ref="A30:B30"/>
    <mergeCell ref="A40:B40"/>
    <mergeCell ref="A39:B39"/>
    <mergeCell ref="A38:B38"/>
    <mergeCell ref="A23:B23"/>
    <mergeCell ref="A25:C25"/>
    <mergeCell ref="A29:B29"/>
    <mergeCell ref="A32:B32"/>
    <mergeCell ref="A31:B31"/>
    <mergeCell ref="A34:C34"/>
    <mergeCell ref="A33:B33"/>
    <mergeCell ref="A28:C28"/>
    <mergeCell ref="A26:C26"/>
    <mergeCell ref="A27:C27"/>
    <mergeCell ref="C52:I52"/>
    <mergeCell ref="C53:I53"/>
    <mergeCell ref="A48:C48"/>
    <mergeCell ref="A49:B49"/>
    <mergeCell ref="C51:D51"/>
    <mergeCell ref="A51:B51"/>
    <mergeCell ref="A50:B50"/>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workbookViewId="0">
      <pane xSplit="1" ySplit="1" topLeftCell="B2" activePane="bottomRight" state="frozen"/>
      <selection pane="bottomRight" activeCell="A7" sqref="A7:XFD7"/>
      <selection pane="bottomLeft" activeCell="B76" sqref="B76"/>
      <selection pane="topRight" activeCell="B76" sqref="B76"/>
    </sheetView>
  </sheetViews>
  <sheetFormatPr defaultRowHeight="13.15"/>
  <cols>
    <col min="1" max="1" width="31.42578125" bestFit="1" customWidth="1"/>
    <col min="2" max="2" width="9.42578125" customWidth="1"/>
    <col min="3" max="7" width="8.42578125" bestFit="1" customWidth="1"/>
    <col min="8" max="8" width="9.28515625" bestFit="1" customWidth="1"/>
    <col min="9" max="18" width="9.42578125" bestFit="1" customWidth="1"/>
  </cols>
  <sheetData>
    <row r="1" spans="1:18" ht="28.9">
      <c r="A1" s="159" t="s">
        <v>267</v>
      </c>
      <c r="B1" s="185" t="s">
        <v>268</v>
      </c>
      <c r="C1" s="185"/>
      <c r="D1" s="185"/>
      <c r="E1" s="185"/>
      <c r="F1" s="185"/>
      <c r="G1" s="185"/>
      <c r="H1" s="185"/>
      <c r="I1" s="185"/>
      <c r="J1" s="185"/>
      <c r="K1" s="185"/>
      <c r="L1" s="185"/>
      <c r="M1" s="185"/>
      <c r="N1" s="185"/>
      <c r="O1" s="185"/>
      <c r="P1" s="185"/>
      <c r="Q1" s="185"/>
      <c r="R1" s="185"/>
    </row>
    <row r="2" spans="1:18" ht="38.25" customHeight="1">
      <c r="A2" s="158" t="s">
        <v>269</v>
      </c>
      <c r="B2" s="200">
        <v>0</v>
      </c>
      <c r="C2" s="201">
        <v>26000</v>
      </c>
      <c r="D2" s="201">
        <v>39000</v>
      </c>
      <c r="E2" s="201">
        <v>52000</v>
      </c>
      <c r="F2" s="201">
        <v>66000</v>
      </c>
      <c r="G2" s="201">
        <v>79000</v>
      </c>
      <c r="H2" s="201">
        <v>105000</v>
      </c>
      <c r="I2" s="201">
        <v>131000</v>
      </c>
      <c r="J2" s="201">
        <v>157000</v>
      </c>
      <c r="K2" s="201">
        <v>184000</v>
      </c>
      <c r="L2" s="201">
        <v>210000</v>
      </c>
      <c r="M2" s="201">
        <v>262000</v>
      </c>
      <c r="N2" s="201">
        <v>328000</v>
      </c>
      <c r="O2" s="201">
        <v>394000</v>
      </c>
      <c r="P2" s="180"/>
      <c r="Q2" s="180"/>
      <c r="R2" s="180"/>
    </row>
    <row r="3" spans="1:18" ht="14.45">
      <c r="A3" s="156" t="s">
        <v>208</v>
      </c>
      <c r="B3" s="202">
        <f>B19*1.05</f>
        <v>2723.6084919732371</v>
      </c>
      <c r="C3" s="202">
        <f t="shared" ref="C3:O3" si="0">C19*1.05</f>
        <v>2723.6084919732371</v>
      </c>
      <c r="D3" s="202">
        <f t="shared" si="0"/>
        <v>2790.6456804944737</v>
      </c>
      <c r="E3" s="202">
        <f t="shared" si="0"/>
        <v>2903.7386170888658</v>
      </c>
      <c r="F3" s="202">
        <f t="shared" si="0"/>
        <v>3088.8728331769717</v>
      </c>
      <c r="G3" s="202">
        <f t="shared" si="0"/>
        <v>3375.265875989297</v>
      </c>
      <c r="H3" s="202">
        <f t="shared" si="0"/>
        <v>3772.356974101976</v>
      </c>
      <c r="I3" s="202">
        <f t="shared" si="0"/>
        <v>4108.9818345305939</v>
      </c>
      <c r="J3" s="202">
        <f t="shared" si="0"/>
        <v>4483.5662078677224</v>
      </c>
      <c r="K3" s="202">
        <f t="shared" si="0"/>
        <v>4703.718137268922</v>
      </c>
      <c r="L3" s="202">
        <f t="shared" si="0"/>
        <v>5004.1147239987558</v>
      </c>
      <c r="M3" s="202">
        <f t="shared" si="0"/>
        <v>5534.2824577980964</v>
      </c>
      <c r="N3" s="202">
        <f t="shared" si="0"/>
        <v>6318.3121821850527</v>
      </c>
      <c r="O3" s="202">
        <f t="shared" si="0"/>
        <v>6385.778760221564</v>
      </c>
      <c r="P3" s="157"/>
      <c r="Q3" s="157"/>
      <c r="R3" s="179"/>
    </row>
    <row r="4" spans="1:18" ht="14.45">
      <c r="A4" s="156" t="s">
        <v>270</v>
      </c>
      <c r="B4" s="202">
        <f t="shared" ref="B4:O11" si="1">B20*1.05</f>
        <v>2723.6084919732371</v>
      </c>
      <c r="C4" s="202">
        <f t="shared" si="1"/>
        <v>2723.6084919732371</v>
      </c>
      <c r="D4" s="202">
        <f t="shared" si="1"/>
        <v>3201.011448080726</v>
      </c>
      <c r="E4" s="202">
        <f t="shared" si="1"/>
        <v>3314.5877327650051</v>
      </c>
      <c r="F4" s="202">
        <f t="shared" si="1"/>
        <v>3500.5131948526855</v>
      </c>
      <c r="G4" s="202">
        <f t="shared" si="1"/>
        <v>3788.1302465007734</v>
      </c>
      <c r="H4" s="202">
        <f t="shared" si="1"/>
        <v>4186.9184727666607</v>
      </c>
      <c r="I4" s="202">
        <f t="shared" si="1"/>
        <v>4524.9820358053012</v>
      </c>
      <c r="J4" s="202">
        <f t="shared" si="1"/>
        <v>4901.1673315732905</v>
      </c>
      <c r="K4" s="202">
        <f t="shared" si="1"/>
        <v>5122.2601839182089</v>
      </c>
      <c r="L4" s="202">
        <f t="shared" si="1"/>
        <v>5423.9406385073953</v>
      </c>
      <c r="M4" s="202">
        <f t="shared" si="1"/>
        <v>5956.374237547956</v>
      </c>
      <c r="N4" s="202">
        <f t="shared" si="1"/>
        <v>6743.7548280896426</v>
      </c>
      <c r="O4" s="202">
        <f t="shared" si="1"/>
        <v>6811.5097458819746</v>
      </c>
      <c r="P4" s="157"/>
      <c r="Q4" s="157"/>
      <c r="R4" s="157"/>
    </row>
    <row r="5" spans="1:18" ht="14.45">
      <c r="A5" s="156" t="s">
        <v>271</v>
      </c>
      <c r="B5" s="202">
        <f t="shared" si="1"/>
        <v>2723.6084919732371</v>
      </c>
      <c r="C5" s="202">
        <f t="shared" si="1"/>
        <v>2723.6084919732371</v>
      </c>
      <c r="D5" s="202">
        <f t="shared" si="1"/>
        <v>3499.9672463782899</v>
      </c>
      <c r="E5" s="202">
        <f t="shared" si="1"/>
        <v>3612.80205356947</v>
      </c>
      <c r="F5" s="202">
        <f t="shared" si="1"/>
        <v>3797.513718185412</v>
      </c>
      <c r="G5" s="202">
        <f t="shared" si="1"/>
        <v>4083.2530830634823</v>
      </c>
      <c r="H5" s="202">
        <f t="shared" si="1"/>
        <v>4479.43784400201</v>
      </c>
      <c r="I5" s="202">
        <f t="shared" si="1"/>
        <v>4815.2943821203062</v>
      </c>
      <c r="J5" s="202">
        <f t="shared" si="1"/>
        <v>5189.023788943904</v>
      </c>
      <c r="K5" s="202">
        <f t="shared" si="1"/>
        <v>5408.673243070999</v>
      </c>
      <c r="L5" s="202">
        <f t="shared" si="1"/>
        <v>5708.3841968118031</v>
      </c>
      <c r="M5" s="202">
        <f t="shared" si="1"/>
        <v>6237.3418473906713</v>
      </c>
      <c r="N5" s="202">
        <f t="shared" si="1"/>
        <v>7019.5820844724985</v>
      </c>
      <c r="O5" s="202">
        <f t="shared" si="1"/>
        <v>7086.8946672288557</v>
      </c>
      <c r="P5" s="157"/>
      <c r="Q5" s="157"/>
      <c r="R5" s="157"/>
    </row>
    <row r="6" spans="1:18" ht="14.45">
      <c r="A6" s="156" t="s">
        <v>272</v>
      </c>
      <c r="B6" s="202">
        <f t="shared" si="1"/>
        <v>2723.6084919732371</v>
      </c>
      <c r="C6" s="202">
        <f t="shared" si="1"/>
        <v>2723.6084919732371</v>
      </c>
      <c r="D6" s="202">
        <f t="shared" si="1"/>
        <v>3499.65</v>
      </c>
      <c r="E6" s="202">
        <f t="shared" si="1"/>
        <v>3908.2439742699021</v>
      </c>
      <c r="F6" s="202">
        <f t="shared" si="1"/>
        <v>4092.8885395317338</v>
      </c>
      <c r="G6" s="202">
        <f t="shared" si="1"/>
        <v>4378.5241297861185</v>
      </c>
      <c r="H6" s="202">
        <f t="shared" si="1"/>
        <v>4774.5649818704587</v>
      </c>
      <c r="I6" s="202">
        <f t="shared" si="1"/>
        <v>5110.2995292189344</v>
      </c>
      <c r="J6" s="202">
        <f t="shared" si="1"/>
        <v>5483.8931769724022</v>
      </c>
      <c r="K6" s="202">
        <f t="shared" si="1"/>
        <v>5703.4628475227009</v>
      </c>
      <c r="L6" s="202">
        <f t="shared" si="1"/>
        <v>6003.0649366502748</v>
      </c>
      <c r="M6" s="202">
        <f t="shared" si="1"/>
        <v>6531.8304548873157</v>
      </c>
      <c r="N6" s="202">
        <f t="shared" si="1"/>
        <v>7313.7865440319756</v>
      </c>
      <c r="O6" s="202">
        <f t="shared" si="1"/>
        <v>7381.0746934825265</v>
      </c>
      <c r="P6" s="157"/>
      <c r="Q6" s="157"/>
      <c r="R6" s="157"/>
    </row>
    <row r="7" spans="1:18" ht="14.45">
      <c r="A7" s="156"/>
      <c r="B7" s="202"/>
      <c r="C7" s="202"/>
      <c r="D7" s="202"/>
      <c r="E7" s="202"/>
      <c r="F7" s="202"/>
      <c r="G7" s="202"/>
      <c r="H7" s="202"/>
      <c r="I7" s="202"/>
      <c r="J7" s="202"/>
      <c r="K7" s="202"/>
      <c r="L7" s="202"/>
      <c r="M7" s="202"/>
      <c r="N7" s="202"/>
      <c r="O7" s="202"/>
      <c r="P7" s="157"/>
      <c r="Q7" s="157"/>
      <c r="R7" s="157"/>
    </row>
    <row r="8" spans="1:18" ht="14.45">
      <c r="A8" s="156" t="s">
        <v>273</v>
      </c>
      <c r="B8" s="202">
        <f t="shared" si="1"/>
        <v>1414.5714810439804</v>
      </c>
      <c r="C8" s="202">
        <f t="shared" si="1"/>
        <v>1484.6582328774871</v>
      </c>
      <c r="D8" s="202">
        <f t="shared" si="1"/>
        <v>1551.8110546918067</v>
      </c>
      <c r="E8" s="202">
        <f t="shared" si="1"/>
        <v>1665.0990688242732</v>
      </c>
      <c r="F8" s="202">
        <f t="shared" si="1"/>
        <v>1850.5526267677467</v>
      </c>
      <c r="G8" s="202">
        <f t="shared" si="1"/>
        <v>2137.4396733841254</v>
      </c>
      <c r="H8" s="202">
        <f t="shared" si="1"/>
        <v>2535.2157198328632</v>
      </c>
      <c r="I8" s="202">
        <f t="shared" si="1"/>
        <v>2872.4212315274394</v>
      </c>
      <c r="J8" s="202">
        <f t="shared" si="1"/>
        <v>3247.6517292506724</v>
      </c>
      <c r="K8" s="202">
        <f t="shared" si="1"/>
        <v>3468.1834091968444</v>
      </c>
      <c r="L8" s="202">
        <f t="shared" si="1"/>
        <v>3769.0981527975896</v>
      </c>
      <c r="M8" s="202">
        <f t="shared" si="1"/>
        <v>4300.1803777731475</v>
      </c>
      <c r="N8" s="202">
        <f t="shared" si="1"/>
        <v>5085.5624941548431</v>
      </c>
      <c r="O8" s="202">
        <f t="shared" si="1"/>
        <v>5153.1454386202759</v>
      </c>
      <c r="P8" s="157"/>
      <c r="Q8" s="157"/>
      <c r="R8" s="157"/>
    </row>
    <row r="9" spans="1:18" ht="14.45">
      <c r="A9" s="156" t="s">
        <v>274</v>
      </c>
      <c r="B9" s="202">
        <f t="shared" si="1"/>
        <v>1414.5714810439804</v>
      </c>
      <c r="C9" s="202">
        <f t="shared" si="1"/>
        <v>1933.336149633303</v>
      </c>
      <c r="D9" s="202">
        <f t="shared" si="1"/>
        <v>2000.0430166902042</v>
      </c>
      <c r="E9" s="202">
        <f t="shared" si="1"/>
        <v>2112.5786952939675</v>
      </c>
      <c r="F9" s="202">
        <f t="shared" si="1"/>
        <v>2296.8006653481589</v>
      </c>
      <c r="G9" s="202">
        <f t="shared" si="1"/>
        <v>2581.7825263198442</v>
      </c>
      <c r="H9" s="202">
        <f t="shared" si="1"/>
        <v>2976.9169803919249</v>
      </c>
      <c r="I9" s="202">
        <f t="shared" si="1"/>
        <v>3311.8831365629276</v>
      </c>
      <c r="J9" s="202">
        <f t="shared" si="1"/>
        <v>3684.6217501391998</v>
      </c>
      <c r="K9" s="202">
        <f t="shared" si="1"/>
        <v>3903.6889025735341</v>
      </c>
      <c r="L9" s="202">
        <f t="shared" si="1"/>
        <v>4202.6053017310296</v>
      </c>
      <c r="M9" s="202">
        <f t="shared" si="1"/>
        <v>4730.1606629087555</v>
      </c>
      <c r="N9" s="202">
        <f t="shared" si="1"/>
        <v>5510.3271154854738</v>
      </c>
      <c r="O9" s="202">
        <f t="shared" si="1"/>
        <v>5577.4612544381553</v>
      </c>
      <c r="P9" s="157"/>
      <c r="Q9" s="157"/>
      <c r="R9" s="157"/>
    </row>
    <row r="10" spans="1:18" ht="14.45">
      <c r="A10" s="156" t="s">
        <v>275</v>
      </c>
      <c r="B10" s="202">
        <f t="shared" si="1"/>
        <v>1414.5714810439804</v>
      </c>
      <c r="C10" s="202">
        <f t="shared" si="1"/>
        <v>2439.2338900338805</v>
      </c>
      <c r="D10" s="202">
        <f t="shared" si="1"/>
        <v>2505.8453255137902</v>
      </c>
      <c r="E10" s="202">
        <f t="shared" si="1"/>
        <v>2618.2200075972878</v>
      </c>
      <c r="F10" s="202">
        <f t="shared" si="1"/>
        <v>2802.1784246589818</v>
      </c>
      <c r="G10" s="202">
        <f t="shared" si="1"/>
        <v>3086.752591135381</v>
      </c>
      <c r="H10" s="202">
        <f t="shared" si="1"/>
        <v>3481.3217508707785</v>
      </c>
      <c r="I10" s="202">
        <f t="shared" si="1"/>
        <v>3815.8086977715384</v>
      </c>
      <c r="J10" s="202">
        <f t="shared" si="1"/>
        <v>4188.0140795817397</v>
      </c>
      <c r="K10" s="202">
        <f t="shared" si="1"/>
        <v>4406.7678133633981</v>
      </c>
      <c r="L10" s="202">
        <f t="shared" si="1"/>
        <v>4705.2565815266689</v>
      </c>
      <c r="M10" s="202">
        <f t="shared" si="1"/>
        <v>5232.0572225688293</v>
      </c>
      <c r="N10" s="202">
        <f t="shared" si="1"/>
        <v>6011.1075424508545</v>
      </c>
      <c r="O10" s="202">
        <f t="shared" si="1"/>
        <v>6078.1456398537048</v>
      </c>
      <c r="P10" s="157"/>
      <c r="Q10" s="157"/>
      <c r="R10" s="157"/>
    </row>
    <row r="11" spans="1:18" ht="14.45">
      <c r="A11" s="156" t="s">
        <v>276</v>
      </c>
      <c r="B11" s="202">
        <f t="shared" si="1"/>
        <v>1414.5714810439804</v>
      </c>
      <c r="C11" s="202">
        <f t="shared" si="1"/>
        <v>2439.15</v>
      </c>
      <c r="D11" s="202">
        <f t="shared" si="1"/>
        <v>3011.6476343373756</v>
      </c>
      <c r="E11" s="202">
        <f t="shared" si="1"/>
        <v>3123.8613199006081</v>
      </c>
      <c r="F11" s="202">
        <f t="shared" si="1"/>
        <v>3307.5561839698053</v>
      </c>
      <c r="G11" s="202">
        <f t="shared" si="1"/>
        <v>3591.7226559509181</v>
      </c>
      <c r="H11" s="202">
        <f t="shared" si="1"/>
        <v>3985.7265213496321</v>
      </c>
      <c r="I11" s="202">
        <f t="shared" si="1"/>
        <v>4319.7342589801501</v>
      </c>
      <c r="J11" s="202">
        <f t="shared" si="1"/>
        <v>4691.4064090242791</v>
      </c>
      <c r="K11" s="202">
        <f t="shared" si="1"/>
        <v>4909.8467241532635</v>
      </c>
      <c r="L11" s="202">
        <f t="shared" si="1"/>
        <v>5207.9078613223073</v>
      </c>
      <c r="M11" s="202">
        <f t="shared" si="1"/>
        <v>5733.9537822289021</v>
      </c>
      <c r="N11" s="202">
        <f t="shared" si="1"/>
        <v>6511.887969416236</v>
      </c>
      <c r="O11" s="202">
        <f t="shared" si="1"/>
        <v>6578.8300252692534</v>
      </c>
      <c r="P11" s="157"/>
      <c r="Q11" s="157"/>
      <c r="R11" s="157"/>
    </row>
    <row r="12" spans="1:18" ht="14.45">
      <c r="A12" s="156"/>
    </row>
    <row r="13" spans="1:18" ht="14.45">
      <c r="A13" s="156"/>
    </row>
    <row r="14" spans="1:18" ht="14.45">
      <c r="A14" s="156"/>
    </row>
    <row r="15" spans="1:18" ht="36.6">
      <c r="A15" s="182" t="s">
        <v>277</v>
      </c>
      <c r="B15" s="178">
        <f>ROUND(B2,0)</f>
        <v>0</v>
      </c>
      <c r="C15" s="178">
        <f>ROUND(C2,0)</f>
        <v>26000</v>
      </c>
      <c r="D15" s="178">
        <f t="shared" ref="D15:O15" si="2">ROUND(D2,0)</f>
        <v>39000</v>
      </c>
      <c r="E15" s="178">
        <f t="shared" si="2"/>
        <v>52000</v>
      </c>
      <c r="F15" s="178">
        <f t="shared" si="2"/>
        <v>66000</v>
      </c>
      <c r="G15" s="178">
        <f t="shared" si="2"/>
        <v>79000</v>
      </c>
      <c r="H15" s="178">
        <f>ROUND(H2,0)</f>
        <v>105000</v>
      </c>
      <c r="I15" s="178">
        <f t="shared" si="2"/>
        <v>131000</v>
      </c>
      <c r="J15" s="178">
        <f t="shared" si="2"/>
        <v>157000</v>
      </c>
      <c r="K15" s="178">
        <f t="shared" si="2"/>
        <v>184000</v>
      </c>
      <c r="L15" s="178">
        <f t="shared" si="2"/>
        <v>210000</v>
      </c>
      <c r="M15" s="178">
        <f t="shared" si="2"/>
        <v>262000</v>
      </c>
      <c r="N15" s="178">
        <f t="shared" si="2"/>
        <v>328000</v>
      </c>
      <c r="O15" s="178">
        <f t="shared" si="2"/>
        <v>394000</v>
      </c>
      <c r="P15" s="178"/>
      <c r="Q15" s="178"/>
      <c r="R15" s="178"/>
    </row>
    <row r="16" spans="1:18" ht="14.45">
      <c r="A16" s="156"/>
    </row>
    <row r="17" spans="1:15" ht="14.45">
      <c r="A17" s="156"/>
      <c r="B17" s="197">
        <f>CalculationsReference!A52-B15</f>
        <v>0</v>
      </c>
      <c r="C17" s="197">
        <f>CalculationsReference!A53-C15</f>
        <v>0</v>
      </c>
      <c r="D17" s="197">
        <f>CalculationsReference!A54-D15</f>
        <v>0</v>
      </c>
      <c r="E17" s="197">
        <f>CalculationsReference!A55-E15</f>
        <v>0</v>
      </c>
      <c r="F17" s="197">
        <f>CalculationsReference!A56-F15</f>
        <v>0</v>
      </c>
      <c r="G17" s="197">
        <f>CalculationsReference!A57-G15</f>
        <v>0</v>
      </c>
      <c r="H17" s="197">
        <f>CalculationsReference!A58-H15</f>
        <v>0</v>
      </c>
      <c r="I17" s="197">
        <f>CalculationsReference!A59-I15</f>
        <v>0</v>
      </c>
      <c r="J17" s="197">
        <f>CalculationsReference!A60-J15</f>
        <v>0</v>
      </c>
      <c r="K17" s="197">
        <f>CalculationsReference!A61-K15</f>
        <v>0</v>
      </c>
      <c r="L17" s="197">
        <f>CalculationsReference!A62-L15</f>
        <v>0</v>
      </c>
      <c r="M17" s="197">
        <f>CalculationsReference!A63-M15</f>
        <v>0</v>
      </c>
      <c r="N17" s="197">
        <f>CalculationsReference!A64-N15</f>
        <v>0</v>
      </c>
      <c r="O17" s="197">
        <f>CalculationsReference!A65-O15</f>
        <v>0</v>
      </c>
    </row>
    <row r="19" spans="1:15" ht="14.45">
      <c r="A19" s="156" t="s">
        <v>208</v>
      </c>
      <c r="B19" s="202">
        <v>2593.9128494983211</v>
      </c>
      <c r="C19" s="202">
        <v>2593.9128494983211</v>
      </c>
      <c r="D19" s="202">
        <v>2657.7577909471179</v>
      </c>
      <c r="E19" s="202">
        <v>2765.4653496084434</v>
      </c>
      <c r="F19" s="202">
        <v>2941.7836506447347</v>
      </c>
      <c r="G19" s="202">
        <v>3214.538929513616</v>
      </c>
      <c r="H19" s="202">
        <v>3592.7209277161674</v>
      </c>
      <c r="I19" s="202">
        <v>3913.31603288628</v>
      </c>
      <c r="J19" s="202">
        <v>4270.0630551121167</v>
      </c>
      <c r="K19" s="202">
        <v>4479.7315593037347</v>
      </c>
      <c r="L19" s="202">
        <v>4765.8235466654814</v>
      </c>
      <c r="M19" s="202">
        <v>5270.7451979029483</v>
      </c>
      <c r="N19" s="202">
        <v>6017.4401735095735</v>
      </c>
      <c r="O19" s="202">
        <v>6081.6940573538704</v>
      </c>
    </row>
    <row r="20" spans="1:15" ht="14.45">
      <c r="A20" s="156" t="s">
        <v>270</v>
      </c>
      <c r="B20" s="202">
        <v>2593.9128494983211</v>
      </c>
      <c r="C20" s="202">
        <v>2593.9128494983211</v>
      </c>
      <c r="D20" s="202">
        <v>3048.5823315054531</v>
      </c>
      <c r="E20" s="202">
        <v>3156.7502216809571</v>
      </c>
      <c r="F20" s="202">
        <v>3333.8220903358906</v>
      </c>
      <c r="G20" s="202">
        <v>3607.7430919054982</v>
      </c>
      <c r="H20" s="202">
        <v>3987.5414026349149</v>
      </c>
      <c r="I20" s="202">
        <v>4309.5067007669531</v>
      </c>
      <c r="J20" s="202">
        <v>4667.778411022181</v>
      </c>
      <c r="K20" s="202">
        <v>4878.3430323030561</v>
      </c>
      <c r="L20" s="202">
        <v>5165.6577509594235</v>
      </c>
      <c r="M20" s="202">
        <v>5672.7373690932909</v>
      </c>
      <c r="N20" s="202">
        <v>6422.6236457996592</v>
      </c>
      <c r="O20" s="202">
        <v>6487.1521389352138</v>
      </c>
    </row>
    <row r="21" spans="1:15" ht="14.45">
      <c r="A21" s="156" t="s">
        <v>271</v>
      </c>
      <c r="B21" s="202">
        <v>2593.9128494983211</v>
      </c>
      <c r="C21" s="202">
        <v>2593.9128494983211</v>
      </c>
      <c r="D21" s="202">
        <v>3333.3021394078951</v>
      </c>
      <c r="E21" s="202">
        <v>3440.7638605423522</v>
      </c>
      <c r="F21" s="202">
        <v>3616.6797316051543</v>
      </c>
      <c r="G21" s="202">
        <v>3888.8124600604592</v>
      </c>
      <c r="H21" s="202">
        <v>4266.1312800019141</v>
      </c>
      <c r="I21" s="202">
        <v>4585.9946496383864</v>
      </c>
      <c r="J21" s="202">
        <v>4941.9274180418133</v>
      </c>
      <c r="K21" s="202">
        <v>5151.1173743533318</v>
      </c>
      <c r="L21" s="202">
        <v>5436.5563779160029</v>
      </c>
      <c r="M21" s="202">
        <v>5940.3255689434964</v>
      </c>
      <c r="N21" s="202">
        <v>6685.3162709261887</v>
      </c>
      <c r="O21" s="202">
        <v>6749.4234925989103</v>
      </c>
    </row>
    <row r="22" spans="1:15" ht="14.45">
      <c r="A22" s="156" t="s">
        <v>272</v>
      </c>
      <c r="B22" s="202">
        <v>2593.9128494983211</v>
      </c>
      <c r="C22" s="202">
        <v>2593.9128494983211</v>
      </c>
      <c r="D22" s="202">
        <v>3333</v>
      </c>
      <c r="E22" s="202">
        <v>3722.1371183522874</v>
      </c>
      <c r="F22" s="202">
        <v>3897.9890852683179</v>
      </c>
      <c r="G22" s="202">
        <v>4170.0229807486839</v>
      </c>
      <c r="H22" s="202">
        <v>4547.2047446385322</v>
      </c>
      <c r="I22" s="202">
        <v>4866.9519325894607</v>
      </c>
      <c r="J22" s="202">
        <v>5222.7554066403827</v>
      </c>
      <c r="K22" s="202">
        <v>5431.8693785930482</v>
      </c>
      <c r="L22" s="202">
        <v>5717.2047015716898</v>
      </c>
      <c r="M22" s="202">
        <v>6220.7909094164906</v>
      </c>
      <c r="N22" s="202">
        <v>6965.5109943161669</v>
      </c>
      <c r="O22" s="202">
        <v>7029.5949461738346</v>
      </c>
    </row>
    <row r="23" spans="1:15" ht="14.45">
      <c r="A23" s="156"/>
      <c r="B23" s="202"/>
      <c r="C23" s="202"/>
      <c r="D23" s="202"/>
      <c r="E23" s="202"/>
      <c r="F23" s="202"/>
      <c r="G23" s="202"/>
      <c r="H23" s="202"/>
      <c r="I23" s="202"/>
      <c r="J23" s="202"/>
      <c r="K23" s="202"/>
      <c r="L23" s="202"/>
      <c r="M23" s="202"/>
      <c r="N23" s="202"/>
      <c r="O23" s="202"/>
    </row>
    <row r="24" spans="1:15" ht="14.45">
      <c r="A24" s="156" t="s">
        <v>273</v>
      </c>
      <c r="B24" s="202">
        <v>1347.2109343276004</v>
      </c>
      <c r="C24" s="202">
        <v>1413.9602217880829</v>
      </c>
      <c r="D24" s="202">
        <v>1477.9152901826731</v>
      </c>
      <c r="E24" s="202">
        <v>1585.8086369754983</v>
      </c>
      <c r="F24" s="202">
        <v>1762.4310731121395</v>
      </c>
      <c r="G24" s="202">
        <v>2035.656831794405</v>
      </c>
      <c r="H24" s="202">
        <v>2414.4911617455841</v>
      </c>
      <c r="I24" s="202">
        <v>2735.6392681213706</v>
      </c>
      <c r="J24" s="202">
        <v>3093.0016469054021</v>
      </c>
      <c r="K24" s="202">
        <v>3303.0318182827086</v>
      </c>
      <c r="L24" s="202">
        <v>3589.6172883786567</v>
      </c>
      <c r="M24" s="202">
        <v>4095.4098835934733</v>
      </c>
      <c r="N24" s="202">
        <v>4843.3928515760408</v>
      </c>
      <c r="O24" s="202">
        <v>4907.7575605907386</v>
      </c>
    </row>
    <row r="25" spans="1:15" ht="14.45">
      <c r="A25" s="156" t="s">
        <v>274</v>
      </c>
      <c r="B25" s="202">
        <v>1347.2109343276004</v>
      </c>
      <c r="C25" s="202">
        <v>1841.2725234602885</v>
      </c>
      <c r="D25" s="202">
        <v>1904.8028730382896</v>
      </c>
      <c r="E25" s="202">
        <v>2011.9797098037786</v>
      </c>
      <c r="F25" s="202">
        <v>2187.4292050934846</v>
      </c>
      <c r="G25" s="202">
        <v>2458.8405012569942</v>
      </c>
      <c r="H25" s="202">
        <v>2835.1590289446904</v>
      </c>
      <c r="I25" s="202">
        <v>3154.1744157742164</v>
      </c>
      <c r="J25" s="202">
        <v>3509.1635715611424</v>
      </c>
      <c r="K25" s="202">
        <v>3717.798954831937</v>
      </c>
      <c r="L25" s="202">
        <v>4002.4812397438377</v>
      </c>
      <c r="M25" s="202">
        <v>4504.9149170559576</v>
      </c>
      <c r="N25" s="202">
        <v>5247.9305861766416</v>
      </c>
      <c r="O25" s="202">
        <v>5311.8678613696711</v>
      </c>
    </row>
    <row r="26" spans="1:15" ht="14.45">
      <c r="A26" s="156" t="s">
        <v>275</v>
      </c>
      <c r="B26" s="202">
        <v>1347.2109343276004</v>
      </c>
      <c r="C26" s="202">
        <v>2323.0798952703622</v>
      </c>
      <c r="D26" s="202">
        <v>2386.5193576321808</v>
      </c>
      <c r="E26" s="202">
        <v>2493.5428643783694</v>
      </c>
      <c r="F26" s="202">
        <v>2668.7413568180777</v>
      </c>
      <c r="G26" s="202">
        <v>2939.7643725098865</v>
      </c>
      <c r="H26" s="202">
        <v>3315.5445246388367</v>
      </c>
      <c r="I26" s="202">
        <v>3634.1035216871792</v>
      </c>
      <c r="J26" s="202">
        <v>3988.5848376968947</v>
      </c>
      <c r="K26" s="202">
        <v>4196.9217270127601</v>
      </c>
      <c r="L26" s="202">
        <v>4481.1967443111134</v>
      </c>
      <c r="M26" s="202">
        <v>4982.9116405417417</v>
      </c>
      <c r="N26" s="202">
        <v>5724.864326143671</v>
      </c>
      <c r="O26" s="202">
        <v>5788.7101331940039</v>
      </c>
    </row>
    <row r="27" spans="1:15" ht="14.45">
      <c r="A27" s="156" t="s">
        <v>276</v>
      </c>
      <c r="B27" s="202">
        <v>1347.2109343276004</v>
      </c>
      <c r="C27" s="202">
        <v>2323</v>
      </c>
      <c r="D27" s="202">
        <v>2868.2358422260718</v>
      </c>
      <c r="E27" s="202">
        <v>2975.1060189529599</v>
      </c>
      <c r="F27" s="202">
        <v>3150.0535085426714</v>
      </c>
      <c r="G27" s="202">
        <v>3420.6882437627792</v>
      </c>
      <c r="H27" s="202">
        <v>3795.9300203329826</v>
      </c>
      <c r="I27" s="202">
        <v>4114.0326276001424</v>
      </c>
      <c r="J27" s="202">
        <v>4468.0061038326467</v>
      </c>
      <c r="K27" s="202">
        <v>4676.0444991935838</v>
      </c>
      <c r="L27" s="202">
        <v>4959.9122488783878</v>
      </c>
      <c r="M27" s="202">
        <v>5460.9083640275257</v>
      </c>
      <c r="N27" s="202">
        <v>6201.7980661107003</v>
      </c>
      <c r="O27" s="202">
        <v>6265.5524050183367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5"/>
  <sheetViews>
    <sheetView workbookViewId="0">
      <pane ySplit="3" topLeftCell="A21" activePane="bottomLeft" state="frozen"/>
      <selection pane="bottomLeft" activeCell="C32" sqref="C32"/>
      <selection activeCell="B76" sqref="B76"/>
    </sheetView>
  </sheetViews>
  <sheetFormatPr defaultColWidth="8.85546875" defaultRowHeight="13.9"/>
  <cols>
    <col min="1" max="1" width="8.85546875" style="153"/>
    <col min="2" max="2" width="11.5703125" style="153" customWidth="1"/>
    <col min="3" max="3" width="96.42578125" style="153" customWidth="1"/>
    <col min="4" max="16384" width="8.85546875" style="153"/>
  </cols>
  <sheetData>
    <row r="1" spans="1:3" ht="14.45">
      <c r="A1" s="479" t="s">
        <v>278</v>
      </c>
      <c r="B1" s="479"/>
      <c r="C1" s="479"/>
    </row>
    <row r="3" spans="1:3" ht="14.45">
      <c r="A3" s="152" t="s">
        <v>279</v>
      </c>
      <c r="B3" s="152" t="s">
        <v>280</v>
      </c>
      <c r="C3" s="151" t="s">
        <v>281</v>
      </c>
    </row>
    <row r="4" spans="1:3" ht="27.6">
      <c r="A4" s="181">
        <v>9.8000000000000007</v>
      </c>
      <c r="B4" s="154">
        <v>42052</v>
      </c>
      <c r="C4" s="155" t="s">
        <v>282</v>
      </c>
    </row>
    <row r="5" spans="1:3" ht="27.6">
      <c r="A5" s="181">
        <v>10</v>
      </c>
      <c r="B5" s="154">
        <v>42052</v>
      </c>
      <c r="C5" s="155" t="s">
        <v>283</v>
      </c>
    </row>
    <row r="6" spans="1:3">
      <c r="A6" s="181">
        <v>10.1</v>
      </c>
      <c r="B6" s="154">
        <v>42061</v>
      </c>
      <c r="C6" s="155" t="s">
        <v>284</v>
      </c>
    </row>
    <row r="7" spans="1:3" ht="27.6">
      <c r="A7" s="181">
        <v>10.199999999999999</v>
      </c>
      <c r="B7" s="154">
        <v>42144</v>
      </c>
      <c r="C7" s="155" t="s">
        <v>285</v>
      </c>
    </row>
    <row r="8" spans="1:3">
      <c r="A8" s="181">
        <v>10.3</v>
      </c>
      <c r="B8" s="154">
        <v>42255</v>
      </c>
      <c r="C8" s="155" t="s">
        <v>286</v>
      </c>
    </row>
    <row r="9" spans="1:3" ht="27.6">
      <c r="A9" s="181">
        <v>10.4</v>
      </c>
      <c r="B9" s="154">
        <v>42257</v>
      </c>
      <c r="C9" s="155" t="s">
        <v>287</v>
      </c>
    </row>
    <row r="10" spans="1:3" ht="27.6">
      <c r="A10" s="181">
        <v>10.5</v>
      </c>
      <c r="B10" s="154">
        <v>42278</v>
      </c>
      <c r="C10" s="155" t="s">
        <v>288</v>
      </c>
    </row>
    <row r="11" spans="1:3">
      <c r="A11" s="181">
        <v>10.6</v>
      </c>
      <c r="B11" s="154">
        <v>42305</v>
      </c>
      <c r="C11" s="155" t="s">
        <v>289</v>
      </c>
    </row>
    <row r="12" spans="1:3">
      <c r="A12" s="181">
        <v>10.7</v>
      </c>
      <c r="B12" s="154">
        <v>42328</v>
      </c>
      <c r="C12" s="155" t="s">
        <v>290</v>
      </c>
    </row>
    <row r="13" spans="1:3" ht="41.45">
      <c r="A13" s="181">
        <v>10.8</v>
      </c>
      <c r="B13" s="154">
        <v>42517</v>
      </c>
      <c r="C13" s="155" t="s">
        <v>291</v>
      </c>
    </row>
    <row r="14" spans="1:3">
      <c r="A14" s="181">
        <v>10.81</v>
      </c>
      <c r="B14" s="154">
        <v>42625</v>
      </c>
      <c r="C14" s="155" t="s">
        <v>292</v>
      </c>
    </row>
    <row r="15" spans="1:3">
      <c r="A15" s="181">
        <v>10.82</v>
      </c>
      <c r="B15" s="154">
        <v>42727</v>
      </c>
      <c r="C15" s="155" t="s">
        <v>293</v>
      </c>
    </row>
    <row r="16" spans="1:3">
      <c r="A16" s="181">
        <v>10.83</v>
      </c>
      <c r="B16" s="154">
        <v>42793</v>
      </c>
      <c r="C16" s="155" t="s">
        <v>294</v>
      </c>
    </row>
    <row r="17" spans="1:3">
      <c r="A17" s="181">
        <v>11</v>
      </c>
      <c r="B17" s="154">
        <v>42815</v>
      </c>
      <c r="C17" s="155" t="s">
        <v>295</v>
      </c>
    </row>
    <row r="18" spans="1:3">
      <c r="A18" s="181">
        <v>11.1</v>
      </c>
      <c r="B18" s="154">
        <v>42829</v>
      </c>
      <c r="C18" s="155" t="s">
        <v>296</v>
      </c>
    </row>
    <row r="19" spans="1:3">
      <c r="A19" s="181">
        <v>11.12</v>
      </c>
      <c r="B19" s="154">
        <v>42895</v>
      </c>
      <c r="C19" s="155" t="s">
        <v>297</v>
      </c>
    </row>
    <row r="20" spans="1:3">
      <c r="A20" s="181">
        <v>11.14</v>
      </c>
      <c r="B20" s="154">
        <v>42963</v>
      </c>
      <c r="C20" s="155" t="s">
        <v>298</v>
      </c>
    </row>
    <row r="21" spans="1:3" ht="73.900000000000006" customHeight="1">
      <c r="A21" s="181">
        <v>12</v>
      </c>
      <c r="B21" s="154">
        <v>42963</v>
      </c>
      <c r="C21" s="155" t="s">
        <v>299</v>
      </c>
    </row>
    <row r="22" spans="1:3">
      <c r="A22" s="181">
        <v>12.01</v>
      </c>
      <c r="B22" s="154">
        <v>42964</v>
      </c>
      <c r="C22" s="155" t="s">
        <v>300</v>
      </c>
    </row>
    <row r="23" spans="1:3" ht="27.6">
      <c r="A23" s="181">
        <v>12.02</v>
      </c>
      <c r="B23" s="154">
        <v>43059</v>
      </c>
      <c r="C23" s="155" t="s">
        <v>301</v>
      </c>
    </row>
    <row r="24" spans="1:3">
      <c r="A24" s="181">
        <v>12.03</v>
      </c>
      <c r="B24" s="154">
        <v>43152</v>
      </c>
      <c r="C24" s="155" t="s">
        <v>302</v>
      </c>
    </row>
    <row r="25" spans="1:3">
      <c r="A25" s="181">
        <v>12.04</v>
      </c>
      <c r="B25" s="154">
        <v>43249</v>
      </c>
      <c r="C25" s="155" t="s">
        <v>303</v>
      </c>
    </row>
    <row r="26" spans="1:3">
      <c r="A26" s="181">
        <v>12.05</v>
      </c>
      <c r="B26" s="154">
        <v>43301</v>
      </c>
      <c r="C26" s="155" t="s">
        <v>304</v>
      </c>
    </row>
    <row r="27" spans="1:3" ht="27.6">
      <c r="A27" s="181">
        <v>12.06</v>
      </c>
      <c r="B27" s="154">
        <v>43412</v>
      </c>
      <c r="C27" s="155" t="s">
        <v>305</v>
      </c>
    </row>
    <row r="28" spans="1:3" ht="27.6">
      <c r="A28" s="181">
        <v>13.02</v>
      </c>
      <c r="B28" s="154">
        <v>43412</v>
      </c>
      <c r="C28" s="155" t="s">
        <v>306</v>
      </c>
    </row>
    <row r="29" spans="1:3">
      <c r="A29" s="181">
        <v>13.03</v>
      </c>
      <c r="B29" s="154">
        <v>43538</v>
      </c>
      <c r="C29" s="155" t="s">
        <v>307</v>
      </c>
    </row>
    <row r="30" spans="1:3">
      <c r="A30" s="181">
        <v>13.04</v>
      </c>
      <c r="B30" s="154">
        <v>43648</v>
      </c>
      <c r="C30" s="155" t="s">
        <v>308</v>
      </c>
    </row>
    <row r="31" spans="1:3">
      <c r="A31" s="181">
        <v>13.04</v>
      </c>
      <c r="B31" s="154">
        <v>43733</v>
      </c>
      <c r="C31" s="153" t="s">
        <v>309</v>
      </c>
    </row>
    <row r="32" spans="1:3">
      <c r="A32" s="181">
        <v>13.05</v>
      </c>
      <c r="B32" s="154">
        <v>43920</v>
      </c>
      <c r="C32" s="153" t="s">
        <v>310</v>
      </c>
    </row>
    <row r="33" spans="1:3">
      <c r="A33" s="198">
        <v>13.06</v>
      </c>
      <c r="B33" s="199">
        <v>43973</v>
      </c>
      <c r="C33" s="153" t="s">
        <v>311</v>
      </c>
    </row>
    <row r="34" spans="1:3">
      <c r="A34" s="198">
        <v>13.07</v>
      </c>
      <c r="B34" s="203">
        <v>44136</v>
      </c>
      <c r="C34" s="153" t="s">
        <v>312</v>
      </c>
    </row>
    <row r="35" spans="1:3">
      <c r="A35" s="198">
        <v>13.08</v>
      </c>
      <c r="B35" s="203">
        <v>44256</v>
      </c>
      <c r="C35" s="153" t="s">
        <v>313</v>
      </c>
    </row>
    <row r="36" spans="1:3">
      <c r="A36" s="198">
        <v>13.09</v>
      </c>
      <c r="B36" s="203">
        <v>44378</v>
      </c>
      <c r="C36" s="153" t="s">
        <v>314</v>
      </c>
    </row>
    <row r="37" spans="1:3">
      <c r="A37" s="181">
        <v>13.1</v>
      </c>
      <c r="B37" s="203">
        <v>44470</v>
      </c>
      <c r="C37" s="153" t="s">
        <v>315</v>
      </c>
    </row>
    <row r="38" spans="1:3">
      <c r="A38" s="198">
        <v>13.11</v>
      </c>
      <c r="B38" s="203">
        <v>44743</v>
      </c>
      <c r="C38" s="153" t="s">
        <v>316</v>
      </c>
    </row>
    <row r="39" spans="1:3">
      <c r="A39" s="198">
        <v>13.12</v>
      </c>
      <c r="B39" s="203">
        <v>44774</v>
      </c>
      <c r="C39" s="153" t="s">
        <v>317</v>
      </c>
    </row>
    <row r="40" spans="1:3">
      <c r="A40" s="198">
        <v>13.14</v>
      </c>
      <c r="B40" s="203">
        <v>45047</v>
      </c>
      <c r="C40" s="153" t="s">
        <v>318</v>
      </c>
    </row>
    <row r="41" spans="1:3">
      <c r="A41" s="198">
        <v>13.14</v>
      </c>
      <c r="B41" s="203">
        <v>45047</v>
      </c>
      <c r="C41" s="153" t="s">
        <v>319</v>
      </c>
    </row>
    <row r="42" spans="1:3">
      <c r="A42" s="198">
        <v>13.15</v>
      </c>
      <c r="B42" s="203">
        <v>45352</v>
      </c>
      <c r="C42" s="153" t="s">
        <v>320</v>
      </c>
    </row>
    <row r="43" spans="1:3">
      <c r="A43" s="198">
        <v>13.16</v>
      </c>
      <c r="B43" s="203">
        <v>45474</v>
      </c>
      <c r="C43" s="153" t="s">
        <v>321</v>
      </c>
    </row>
    <row r="44" spans="1:3">
      <c r="A44" s="198">
        <v>13.17</v>
      </c>
      <c r="B44" s="203">
        <v>45323</v>
      </c>
      <c r="C44" s="153" t="s">
        <v>322</v>
      </c>
    </row>
    <row r="45" spans="1:3">
      <c r="A45" s="198">
        <v>13.18</v>
      </c>
      <c r="B45" s="203">
        <v>45870</v>
      </c>
      <c r="C45" s="153" t="s">
        <v>323</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I35" sqref="I35"/>
    </sheetView>
  </sheetViews>
  <sheetFormatPr defaultRowHeight="13.15"/>
  <cols>
    <col min="2" max="2" width="13.140625" bestFit="1" customWidth="1"/>
    <col min="3" max="3" width="14.42578125" customWidth="1"/>
    <col min="4" max="4" width="22.5703125" style="56" customWidth="1"/>
    <col min="5" max="6" width="11.140625" bestFit="1" customWidth="1"/>
    <col min="7" max="14" width="14.140625" bestFit="1" customWidth="1"/>
    <col min="15" max="22" width="11.140625" bestFit="1" customWidth="1"/>
  </cols>
  <sheetData>
    <row r="1" spans="1:22" ht="40.15" thickBot="1">
      <c r="B1" s="480" t="s">
        <v>324</v>
      </c>
      <c r="C1" s="481"/>
      <c r="D1" s="482"/>
      <c r="E1" s="70" t="s">
        <v>207</v>
      </c>
      <c r="F1" s="68" t="s">
        <v>208</v>
      </c>
      <c r="G1" s="68" t="s">
        <v>209</v>
      </c>
      <c r="H1" s="68" t="s">
        <v>98</v>
      </c>
      <c r="I1" s="68" t="s">
        <v>210</v>
      </c>
      <c r="J1" s="68" t="s">
        <v>211</v>
      </c>
      <c r="K1" s="68" t="s">
        <v>212</v>
      </c>
      <c r="L1" s="68" t="s">
        <v>213</v>
      </c>
      <c r="M1" s="68" t="s">
        <v>214</v>
      </c>
      <c r="N1" s="68" t="s">
        <v>215</v>
      </c>
      <c r="O1" s="69" t="s">
        <v>216</v>
      </c>
      <c r="P1" s="69" t="s">
        <v>217</v>
      </c>
      <c r="Q1" s="69" t="s">
        <v>218</v>
      </c>
      <c r="R1" s="69" t="s">
        <v>219</v>
      </c>
      <c r="S1" s="69" t="s">
        <v>220</v>
      </c>
      <c r="T1" s="69" t="s">
        <v>221</v>
      </c>
      <c r="U1" s="69" t="s">
        <v>222</v>
      </c>
      <c r="V1" s="69" t="s">
        <v>223</v>
      </c>
    </row>
    <row r="2" spans="1:22" s="57" customFormat="1" ht="39.6">
      <c r="B2" s="71" t="s">
        <v>325</v>
      </c>
      <c r="C2" s="71" t="s">
        <v>326</v>
      </c>
      <c r="D2" s="71" t="s">
        <v>327</v>
      </c>
      <c r="E2" s="67">
        <v>339.5</v>
      </c>
      <c r="F2" s="67">
        <v>493</v>
      </c>
      <c r="G2" s="67">
        <f>F2+120</f>
        <v>613</v>
      </c>
      <c r="H2" s="67">
        <f>G2+120</f>
        <v>733</v>
      </c>
      <c r="I2" s="67">
        <f t="shared" ref="I2:J2" si="0">H2+120</f>
        <v>853</v>
      </c>
      <c r="J2" s="67">
        <f t="shared" si="0"/>
        <v>973</v>
      </c>
      <c r="K2" s="149">
        <f>J2+(J2-I2)</f>
        <v>1093</v>
      </c>
      <c r="L2" s="149">
        <f t="shared" ref="L2:N2" si="1">K2+(K2-J2)</f>
        <v>1213</v>
      </c>
      <c r="M2" s="149">
        <f t="shared" si="1"/>
        <v>1333</v>
      </c>
      <c r="N2" s="149">
        <f t="shared" si="1"/>
        <v>1453</v>
      </c>
      <c r="O2" s="67">
        <f>E2+120</f>
        <v>459.5</v>
      </c>
      <c r="P2" s="67">
        <f>O2+120</f>
        <v>579.5</v>
      </c>
      <c r="Q2" s="67">
        <f t="shared" ref="Q2:R2" si="2">P2+120</f>
        <v>699.5</v>
      </c>
      <c r="R2" s="67">
        <f t="shared" si="2"/>
        <v>819.5</v>
      </c>
      <c r="S2" s="149">
        <f>R2+(R2-Q2)</f>
        <v>939.5</v>
      </c>
      <c r="T2" s="149">
        <f t="shared" ref="T2" si="3">S2+(S2-R2)</f>
        <v>1059.5</v>
      </c>
      <c r="U2" s="149">
        <f t="shared" ref="U2" si="4">T2+(T2-S2)</f>
        <v>1179.5</v>
      </c>
      <c r="V2" s="149">
        <f t="shared" ref="V2" si="5">U2+(U2-T2)</f>
        <v>1299.5</v>
      </c>
    </row>
    <row r="3" spans="1:22">
      <c r="B3" s="60" t="s">
        <v>206</v>
      </c>
      <c r="C3" s="60"/>
      <c r="D3" s="61"/>
      <c r="E3" s="60"/>
      <c r="F3" s="60"/>
      <c r="G3" s="60"/>
      <c r="H3" s="60"/>
      <c r="I3" s="60"/>
      <c r="J3" s="60"/>
      <c r="K3" s="60"/>
      <c r="L3" s="60"/>
      <c r="M3" s="60"/>
      <c r="N3" s="60"/>
      <c r="O3" s="60"/>
      <c r="P3" s="60"/>
      <c r="Q3" s="60"/>
      <c r="R3" s="60"/>
      <c r="S3" s="60"/>
      <c r="T3" s="60"/>
      <c r="U3" s="60"/>
      <c r="V3" s="60"/>
    </row>
    <row r="4" spans="1:22">
      <c r="B4" s="62" t="s">
        <v>328</v>
      </c>
      <c r="C4" s="63" t="s">
        <v>329</v>
      </c>
      <c r="D4" s="64" t="s">
        <v>330</v>
      </c>
      <c r="E4" s="65">
        <f>(E$2*52)/12</f>
        <v>1471.1666666666667</v>
      </c>
      <c r="F4" s="65">
        <f t="shared" ref="F4:V4" si="6">(F$2*52)/12</f>
        <v>2136.3333333333335</v>
      </c>
      <c r="G4" s="65">
        <f t="shared" si="6"/>
        <v>2656.3333333333335</v>
      </c>
      <c r="H4" s="65">
        <f t="shared" si="6"/>
        <v>3176.3333333333335</v>
      </c>
      <c r="I4" s="65">
        <f t="shared" si="6"/>
        <v>3696.3333333333335</v>
      </c>
      <c r="J4" s="65">
        <f t="shared" si="6"/>
        <v>4216.333333333333</v>
      </c>
      <c r="K4" s="65">
        <f t="shared" si="6"/>
        <v>4736.333333333333</v>
      </c>
      <c r="L4" s="65">
        <f t="shared" si="6"/>
        <v>5256.333333333333</v>
      </c>
      <c r="M4" s="65">
        <f t="shared" si="6"/>
        <v>5776.333333333333</v>
      </c>
      <c r="N4" s="65">
        <f t="shared" si="6"/>
        <v>6296.333333333333</v>
      </c>
      <c r="O4" s="65">
        <f t="shared" si="6"/>
        <v>1991.1666666666667</v>
      </c>
      <c r="P4" s="65">
        <f t="shared" si="6"/>
        <v>2511.1666666666665</v>
      </c>
      <c r="Q4" s="65">
        <f t="shared" si="6"/>
        <v>3031.1666666666665</v>
      </c>
      <c r="R4" s="65">
        <f t="shared" si="6"/>
        <v>3551.1666666666665</v>
      </c>
      <c r="S4" s="65">
        <f t="shared" si="6"/>
        <v>4071.1666666666665</v>
      </c>
      <c r="T4" s="65">
        <f t="shared" si="6"/>
        <v>4591.166666666667</v>
      </c>
      <c r="U4" s="65">
        <f t="shared" si="6"/>
        <v>5111.166666666667</v>
      </c>
      <c r="V4" s="65">
        <f t="shared" si="6"/>
        <v>5631.166666666667</v>
      </c>
    </row>
    <row r="5" spans="1:22">
      <c r="B5" s="60"/>
      <c r="C5" s="60"/>
      <c r="D5" s="61"/>
      <c r="E5" s="60"/>
      <c r="F5" s="60"/>
      <c r="G5" s="60"/>
      <c r="H5" s="60"/>
      <c r="I5" s="66"/>
      <c r="J5" s="66"/>
      <c r="K5" s="66"/>
      <c r="L5" s="66"/>
      <c r="M5" s="66"/>
      <c r="N5" s="66"/>
      <c r="O5" s="66"/>
      <c r="P5" s="66"/>
      <c r="Q5" s="66"/>
      <c r="R5" s="66"/>
      <c r="S5" s="66"/>
      <c r="T5" s="66"/>
      <c r="U5" s="66"/>
      <c r="V5" s="66"/>
    </row>
    <row r="6" spans="1:22">
      <c r="G6" s="150">
        <f>G4-F4</f>
        <v>520</v>
      </c>
      <c r="H6" s="150">
        <f t="shared" ref="H6:N6" si="7">H4-G4</f>
        <v>520</v>
      </c>
      <c r="I6" s="150">
        <f t="shared" si="7"/>
        <v>520</v>
      </c>
      <c r="J6" s="150">
        <f t="shared" si="7"/>
        <v>519.99999999999955</v>
      </c>
      <c r="K6" s="150">
        <f t="shared" si="7"/>
        <v>520</v>
      </c>
      <c r="L6" s="150">
        <f t="shared" si="7"/>
        <v>520</v>
      </c>
      <c r="M6" s="150">
        <f t="shared" si="7"/>
        <v>520</v>
      </c>
      <c r="N6" s="150">
        <f t="shared" si="7"/>
        <v>520</v>
      </c>
      <c r="O6" s="150">
        <f>O4-E4</f>
        <v>520</v>
      </c>
      <c r="P6" s="150">
        <f>P4-O4</f>
        <v>519.99999999999977</v>
      </c>
      <c r="Q6" s="150">
        <f t="shared" ref="Q6:V6" si="8">Q4-P4</f>
        <v>520</v>
      </c>
      <c r="R6" s="150">
        <f t="shared" si="8"/>
        <v>520</v>
      </c>
      <c r="S6" s="150">
        <f t="shared" si="8"/>
        <v>520</v>
      </c>
      <c r="T6" s="150">
        <f t="shared" si="8"/>
        <v>520.00000000000045</v>
      </c>
      <c r="U6" s="150">
        <f t="shared" si="8"/>
        <v>520</v>
      </c>
      <c r="V6" s="150">
        <f t="shared" si="8"/>
        <v>520</v>
      </c>
    </row>
    <row r="7" spans="1:22">
      <c r="I7" s="38"/>
    </row>
    <row r="8" spans="1:22">
      <c r="A8" s="59" t="s">
        <v>331</v>
      </c>
      <c r="B8" s="58" t="s">
        <v>332</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BD8BC5BF36348BD5A708BAF05B7C9" ma:contentTypeVersion="15" ma:contentTypeDescription="Create a new document." ma:contentTypeScope="" ma:versionID="f3f45df7aabba74ae1c5d46ebf959aa5">
  <xsd:schema xmlns:xsd="http://www.w3.org/2001/XMLSchema" xmlns:xs="http://www.w3.org/2001/XMLSchema" xmlns:p="http://schemas.microsoft.com/office/2006/metadata/properties" xmlns:ns2="3a51f777-0720-4be8-90de-f62322b502d9" xmlns:ns3="b517f410-3b25-4960-9412-354a7c27fc5e" targetNamespace="http://schemas.microsoft.com/office/2006/metadata/properties" ma:root="true" ma:fieldsID="c2b45128799b27dddf14be4724264756" ns2:_="" ns3:_="">
    <xsd:import namespace="3a51f777-0720-4be8-90de-f62322b502d9"/>
    <xsd:import namespace="b517f410-3b25-4960-9412-354a7c27f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1f777-0720-4be8-90de-f62322b50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517f410-3b25-4960-9412-354a7c27fc5e" xsi:nil="true"/>
    <lcf76f155ced4ddcb4097134ff3c332f xmlns="3a51f777-0720-4be8-90de-f62322b502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AB2B9-C8E1-4B2F-BDD9-BD19AEF61DE8}"/>
</file>

<file path=customXml/itemProps2.xml><?xml version="1.0" encoding="utf-8"?>
<ds:datastoreItem xmlns:ds="http://schemas.openxmlformats.org/officeDocument/2006/customXml" ds:itemID="{9435CEA6-E8B3-4D73-ACED-9D53BF974571}"/>
</file>

<file path=customXml/itemProps3.xml><?xml version="1.0" encoding="utf-8"?>
<ds:datastoreItem xmlns:ds="http://schemas.openxmlformats.org/officeDocument/2006/customXml" ds:itemID="{AC580A35-9C88-4E9E-B735-F27860661502}"/>
</file>

<file path=docProps/app.xml><?xml version="1.0" encoding="utf-8"?>
<Properties xmlns="http://schemas.openxmlformats.org/officeDocument/2006/extended-properties" xmlns:vt="http://schemas.openxmlformats.org/officeDocument/2006/docPropsVTypes">
  <Application>Microsoft Excel Online</Application>
  <Manager/>
  <Company>Australian Mortgage Securities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Robert Stjepic</cp:lastModifiedBy>
  <cp:revision/>
  <dcterms:created xsi:type="dcterms:W3CDTF">2001-08-19T05:30:08Z</dcterms:created>
  <dcterms:modified xsi:type="dcterms:W3CDTF">2025-10-24T03:14:19Z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0x010100A7ABD8BC5BF36348BD5A708BAF05B7C9</vt:lpwstr>
  </property>
  <property fmtid="{D5CDD505-2E9C-101B-9397-08002B2CF9AE}" pid="3" name="MediaServiceImageTags">
    <vt:lpwstr/>
  </property>
</Properties>
</file>